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9435" firstSheet="1" activeTab="1"/>
  </bookViews>
  <sheets>
    <sheet name="2011 факт" sheetId="1" r:id="rId1"/>
    <sheet name="6 мес. 2013г." sheetId="2" r:id="rId2"/>
  </sheets>
  <definedNames/>
  <calcPr fullCalcOnLoad="1" refMode="R1C1"/>
</workbook>
</file>

<file path=xl/sharedStrings.xml><?xml version="1.0" encoding="utf-8"?>
<sst xmlns="http://schemas.openxmlformats.org/spreadsheetml/2006/main" count="371" uniqueCount="170">
  <si>
    <t>д. Богдановка кот.18-б</t>
  </si>
  <si>
    <t>д. Богдановка кот.18-в</t>
  </si>
  <si>
    <t>Новомосковск</t>
  </si>
  <si>
    <t>с. Спасское</t>
  </si>
  <si>
    <t>№ п/п</t>
  </si>
  <si>
    <t>Статьи затрат</t>
  </si>
  <si>
    <t>природный газ</t>
  </si>
  <si>
    <t>Затраты на покупное тепло, в т.ч.</t>
  </si>
  <si>
    <t>от блок - станций</t>
  </si>
  <si>
    <t>от котельных</t>
  </si>
  <si>
    <t>Итого производственные расходы</t>
  </si>
  <si>
    <t>налог на имущество</t>
  </si>
  <si>
    <t>-</t>
  </si>
  <si>
    <t>Спасское</t>
  </si>
  <si>
    <t>Ширинский</t>
  </si>
  <si>
    <t>НТК</t>
  </si>
  <si>
    <t>Всего</t>
  </si>
  <si>
    <t>Фактические показатели за 2011 г. в тыс.руб.</t>
  </si>
  <si>
    <t>Себестоимость 1 Гкал. отпущенной ТЭ</t>
  </si>
  <si>
    <t>Тариф, руб. за 1 Гкал</t>
  </si>
  <si>
    <t>Выручка от реализации прочих услуг</t>
  </si>
  <si>
    <t>Прочие внереализационные расходы</t>
  </si>
  <si>
    <t>Прочие расходы, всего, в том числе:</t>
  </si>
  <si>
    <t>проценты к уплате</t>
  </si>
  <si>
    <t>Прочие внереализационные доходы</t>
  </si>
  <si>
    <t>Прибыль (убыток)до налогообложения</t>
  </si>
  <si>
    <t>Отложенные налоговые активы</t>
  </si>
  <si>
    <t>22</t>
  </si>
  <si>
    <t>Чистая прибыль (убыток)</t>
  </si>
  <si>
    <t>Налог на прибыль</t>
  </si>
  <si>
    <t>Проценты к получению</t>
  </si>
  <si>
    <t>Резерв сомнительной дебиторской зад-сти</t>
  </si>
  <si>
    <t xml:space="preserve">Прибыль(+) /убыток (-)   </t>
  </si>
  <si>
    <t>резерв по сомнительным долгам</t>
  </si>
  <si>
    <t>отложенные налоговые активы</t>
  </si>
  <si>
    <t>в том числе : убыток от операцинной деятельности</t>
  </si>
  <si>
    <t xml:space="preserve">прочие доходы </t>
  </si>
  <si>
    <t>прочие расходы из прибыли ( услуги банка,  выплаты социального характера)</t>
  </si>
  <si>
    <t>Расходы по уплате процентов за пользование кредитными ресурсами (сальдо)</t>
  </si>
  <si>
    <t>Сокольники Гремячее и др.всего</t>
  </si>
  <si>
    <t>Объем</t>
  </si>
  <si>
    <t>Тариф</t>
  </si>
  <si>
    <t>Население, тыс.руб.</t>
  </si>
  <si>
    <t>Бюджетные потребители, тыс.руб.</t>
  </si>
  <si>
    <t>Прочие потребители, тыс.руб.</t>
  </si>
  <si>
    <t>Топливо тыс.руб.</t>
  </si>
  <si>
    <t xml:space="preserve">Фактические показатели за 2011 г. </t>
  </si>
  <si>
    <t>Сокольники</t>
  </si>
  <si>
    <t>сумма для проверки</t>
  </si>
  <si>
    <t>Сумма для проверки</t>
  </si>
  <si>
    <t>Фактические показатели за 2011 г.</t>
  </si>
  <si>
    <t>кот. № 21</t>
  </si>
  <si>
    <t>кот. №23</t>
  </si>
  <si>
    <t>кот. № 24</t>
  </si>
  <si>
    <t>кот. № 25</t>
  </si>
  <si>
    <t>кот. № 26а</t>
  </si>
  <si>
    <t>Кот. № 27</t>
  </si>
  <si>
    <t>Кот. № 20 а</t>
  </si>
  <si>
    <t>Кот. № 28</t>
  </si>
  <si>
    <t>Кот.№ 2</t>
  </si>
  <si>
    <t>котельные и тепловые пункты г. Новомосковска</t>
  </si>
  <si>
    <t>ЦТП 1</t>
  </si>
  <si>
    <t>ЦТП 2</t>
  </si>
  <si>
    <t>ЦТП 3</t>
  </si>
  <si>
    <t>ЦТП 4</t>
  </si>
  <si>
    <t>Депо</t>
  </si>
  <si>
    <t>Заводской район</t>
  </si>
  <si>
    <t>Кот.№ 2а</t>
  </si>
  <si>
    <t>Кот.№ 3</t>
  </si>
  <si>
    <t>Кот.№ 4</t>
  </si>
  <si>
    <t>Кот.№ 5</t>
  </si>
  <si>
    <t>Кот.№ 8</t>
  </si>
  <si>
    <t>Кот.№ 9</t>
  </si>
  <si>
    <t>Кот.№ 10</t>
  </si>
  <si>
    <t>Кот.№ 12</t>
  </si>
  <si>
    <t>Кот.№ 13</t>
  </si>
  <si>
    <t>Кот.№ 13а</t>
  </si>
  <si>
    <t>Кот.№ 14</t>
  </si>
  <si>
    <t>Кот.№ 15</t>
  </si>
  <si>
    <t>Кот.№ 16</t>
  </si>
  <si>
    <t>Кот.№ 17</t>
  </si>
  <si>
    <t>Кот.№ 19</t>
  </si>
  <si>
    <t>Кот.№ 29</t>
  </si>
  <si>
    <t>Кот.№ 31</t>
  </si>
  <si>
    <t>Кот.№ 34</t>
  </si>
  <si>
    <t>Кот.№ 32а</t>
  </si>
  <si>
    <t xml:space="preserve">д. Правда </t>
  </si>
  <si>
    <t>д. Ольховец</t>
  </si>
  <si>
    <t>Кот. № 20-в</t>
  </si>
  <si>
    <t>Кот. № 20-м</t>
  </si>
  <si>
    <t>Кот. № 18</t>
  </si>
  <si>
    <t>д.Прохоровка</t>
  </si>
  <si>
    <t>д.Озерки</t>
  </si>
  <si>
    <t>Кот. № 20-б-1</t>
  </si>
  <si>
    <t>Кот. № 18б</t>
  </si>
  <si>
    <t>котельные г. Сокольники, с. Гремячее и др. села</t>
  </si>
  <si>
    <t>Объем тыс.м3</t>
  </si>
  <si>
    <t>Цена</t>
  </si>
  <si>
    <t>Объем тыс.Гкал.</t>
  </si>
  <si>
    <t>Объем тыс. Гкал</t>
  </si>
  <si>
    <t>Затраты, всего</t>
  </si>
  <si>
    <t>Кот. №  18в эл.</t>
  </si>
  <si>
    <t xml:space="preserve"> Кот.№20-б-2 эл.</t>
  </si>
  <si>
    <t xml:space="preserve">д. Ольховец </t>
  </si>
  <si>
    <t>Кот. № 18а эл.</t>
  </si>
  <si>
    <t>Кот.№ 10а эл.</t>
  </si>
  <si>
    <t>Кот.№ 33</t>
  </si>
  <si>
    <t xml:space="preserve">ЦТП 5 </t>
  </si>
  <si>
    <t>Покупная электроэнергия, тыс.руб.</t>
  </si>
  <si>
    <t>Тыс. кВт-ч</t>
  </si>
  <si>
    <t>Вода на технологические цели, тыс.руб.</t>
  </si>
  <si>
    <t>Объем, тыс.м3</t>
  </si>
  <si>
    <t>Стоки, тыс.руб.</t>
  </si>
  <si>
    <t>Объем Гкал.</t>
  </si>
  <si>
    <t>Выручка за т/энергию, всего тыс. руб.</t>
  </si>
  <si>
    <t>93,29,04</t>
  </si>
  <si>
    <t>23</t>
  </si>
  <si>
    <t>24</t>
  </si>
  <si>
    <t>25</t>
  </si>
  <si>
    <t>26</t>
  </si>
  <si>
    <t>27</t>
  </si>
  <si>
    <t>28</t>
  </si>
  <si>
    <t>29</t>
  </si>
  <si>
    <t xml:space="preserve">кот. № 26 </t>
  </si>
  <si>
    <t>Коэффициент распределения затрат</t>
  </si>
  <si>
    <t>Средне-списочная численность ппп, чел.</t>
  </si>
  <si>
    <t>ФОТ</t>
  </si>
  <si>
    <t>Химреагенты</t>
  </si>
  <si>
    <t>9</t>
  </si>
  <si>
    <t>Общехозяйственные расходы (26 сч.) всего, в том числе:</t>
  </si>
  <si>
    <t>12</t>
  </si>
  <si>
    <t>Транспортные расходы (23 сч.)</t>
  </si>
  <si>
    <t>1.1.</t>
  </si>
  <si>
    <t>1.2.</t>
  </si>
  <si>
    <t>1.3.</t>
  </si>
  <si>
    <t>Фактические сведения о работе котельных   ООО "Новомосковская тепловая компания" за 2011год</t>
  </si>
  <si>
    <t xml:space="preserve">аренда имущества                                  </t>
  </si>
  <si>
    <t xml:space="preserve">Расходы на содержание и эксплуатацию оборудования (25 сч. КИП, ХВО, АДС)                                                                                                                                     </t>
  </si>
  <si>
    <t>Амортизация</t>
  </si>
  <si>
    <t>Затраты на ремонт (ТМЦ хоз способ, подряды)</t>
  </si>
  <si>
    <t>13</t>
  </si>
  <si>
    <t>14</t>
  </si>
  <si>
    <t>15</t>
  </si>
  <si>
    <t xml:space="preserve">Отчисления с ФОТ </t>
  </si>
  <si>
    <t>Прочие расходы (прочие материалы, обсл.газопроводов, налог, и др.)</t>
  </si>
  <si>
    <t>(в тыс. руб.)</t>
  </si>
  <si>
    <t>Кот. Крышная</t>
  </si>
  <si>
    <t>Итого производственная себестоимость</t>
  </si>
  <si>
    <t>ВСЕГО</t>
  </si>
  <si>
    <t>38,032,13</t>
  </si>
  <si>
    <t>ФОТ основных рабочих</t>
  </si>
  <si>
    <t>Отчисления с ФОТ  основных рабочих</t>
  </si>
  <si>
    <t>ФОТ ремонтников</t>
  </si>
  <si>
    <t>Отчисления с ФОТ  ремонтников</t>
  </si>
  <si>
    <t>Средне-списочная численность осн.рабочих, чел.</t>
  </si>
  <si>
    <t>Средне-списочная численность ремонт.рабочих, чел.</t>
  </si>
  <si>
    <t>16</t>
  </si>
  <si>
    <t>17</t>
  </si>
  <si>
    <t>18</t>
  </si>
  <si>
    <t>в т. ч. Ремонт и сод. газового оборуд.</t>
  </si>
  <si>
    <t>доля</t>
  </si>
  <si>
    <t>Прочие расходы (прочие материалы,  приборы,охрана труда, экспертиза и др.)</t>
  </si>
  <si>
    <t xml:space="preserve">Прибыль(+) /убыток (-) от продаж  </t>
  </si>
  <si>
    <t>64-прочие</t>
  </si>
  <si>
    <t>Сокольники, Гремячее, Первомайский, Шишлово, Кр. Богатырь</t>
  </si>
  <si>
    <t>Фактические затраты по действовавшим тарифам   ООО "Новомосковская тепловая компания" за 6 месяцев 2013год</t>
  </si>
  <si>
    <t xml:space="preserve">д. Богдановка </t>
  </si>
  <si>
    <t>Затраты всего, в том числе:</t>
  </si>
  <si>
    <t xml:space="preserve">Выручка за т/энергию  всего </t>
  </si>
  <si>
    <t>Утвержденный тариф, руб. за 1 Гкал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</si>
</sst>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0"/>
    <numFmt numFmtId="166" formatCode="#,##0.000000"/>
    <numFmt numFmtId="167" formatCode="#,##0.00000"/>
    <numFmt numFmtId="168" formatCode="[$-FC19]d\ mmmm\ yyyy\ &quot;г.&quot;"/>
    <numFmt numFmtId="169" formatCode="#,##0.00&quot;р.&quot;"/>
    <numFmt numFmtId="170" formatCode="0.00000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color indexed="48"/>
      <name val="Times New Roman"/>
      <family val="1"/>
    </font>
    <font>
      <b/>
      <sz val="12"/>
      <color indexed="4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165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2" fillId="24" borderId="10" xfId="0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4" fontId="3" fillId="25" borderId="10" xfId="0" applyNumberFormat="1" applyFont="1" applyFill="1" applyBorder="1" applyAlignment="1">
      <alignment horizontal="center" vertical="center" wrapText="1"/>
    </xf>
    <xf numFmtId="4" fontId="2" fillId="25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24" borderId="12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5" fillId="24" borderId="12" xfId="0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4" fontId="7" fillId="24" borderId="10" xfId="0" applyNumberFormat="1" applyFont="1" applyFill="1" applyBorder="1" applyAlignment="1">
      <alignment horizontal="center" vertical="center" wrapText="1"/>
    </xf>
    <xf numFmtId="4" fontId="26" fillId="24" borderId="10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4" fontId="3" fillId="24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4" fontId="29" fillId="25" borderId="10" xfId="0" applyNumberFormat="1" applyFont="1" applyFill="1" applyBorder="1" applyAlignment="1">
      <alignment horizontal="center" vertical="center" wrapText="1"/>
    </xf>
    <xf numFmtId="167" fontId="29" fillId="0" borderId="10" xfId="0" applyNumberFormat="1" applyFont="1" applyFill="1" applyBorder="1" applyAlignment="1">
      <alignment horizontal="center" vertical="center" wrapText="1"/>
    </xf>
    <xf numFmtId="167" fontId="28" fillId="0" borderId="10" xfId="0" applyNumberFormat="1" applyFont="1" applyFill="1" applyBorder="1" applyAlignment="1">
      <alignment horizontal="center" vertical="center" wrapText="1"/>
    </xf>
    <xf numFmtId="4" fontId="30" fillId="24" borderId="10" xfId="0" applyNumberFormat="1" applyFont="1" applyFill="1" applyBorder="1" applyAlignment="1">
      <alignment horizontal="center" vertical="center" wrapText="1"/>
    </xf>
    <xf numFmtId="4" fontId="28" fillId="24" borderId="10" xfId="0" applyNumberFormat="1" applyFont="1" applyFill="1" applyBorder="1" applyAlignment="1">
      <alignment horizontal="center" vertical="center" wrapText="1"/>
    </xf>
    <xf numFmtId="4" fontId="31" fillId="24" borderId="10" xfId="0" applyNumberFormat="1" applyFont="1" applyFill="1" applyBorder="1" applyAlignment="1">
      <alignment horizontal="center" vertical="center" wrapText="1"/>
    </xf>
    <xf numFmtId="2" fontId="26" fillId="24" borderId="10" xfId="0" applyNumberFormat="1" applyFont="1" applyFill="1" applyBorder="1" applyAlignment="1">
      <alignment horizontal="center" vertical="center" wrapText="1"/>
    </xf>
    <xf numFmtId="4" fontId="28" fillId="25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/>
    </xf>
    <xf numFmtId="4" fontId="29" fillId="24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4" fontId="2" fillId="25" borderId="10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/>
    </xf>
    <xf numFmtId="4" fontId="0" fillId="25" borderId="0" xfId="0" applyNumberFormat="1" applyFont="1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4" fontId="33" fillId="24" borderId="10" xfId="0" applyNumberFormat="1" applyFont="1" applyFill="1" applyBorder="1" applyAlignment="1">
      <alignment horizontal="center" vertical="center" wrapText="1"/>
    </xf>
    <xf numFmtId="4" fontId="34" fillId="24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wrapText="1"/>
    </xf>
    <xf numFmtId="0" fontId="32" fillId="0" borderId="15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80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A38" sqref="BA38"/>
    </sheetView>
  </sheetViews>
  <sheetFormatPr defaultColWidth="9.140625" defaultRowHeight="12.75"/>
  <cols>
    <col min="1" max="1" width="4.8515625" style="7" customWidth="1"/>
    <col min="2" max="2" width="43.421875" style="7" customWidth="1"/>
    <col min="3" max="3" width="15.00390625" style="7" customWidth="1"/>
    <col min="4" max="4" width="16.00390625" style="7" customWidth="1"/>
    <col min="5" max="5" width="15.421875" style="7" customWidth="1"/>
    <col min="6" max="6" width="15.140625" style="7" customWidth="1"/>
    <col min="7" max="7" width="15.00390625" style="7" customWidth="1"/>
    <col min="8" max="8" width="15.28125" style="7" customWidth="1"/>
    <col min="9" max="9" width="15.140625" style="7" customWidth="1"/>
    <col min="10" max="10" width="15.57421875" style="7" customWidth="1"/>
    <col min="11" max="11" width="15.140625" style="7" customWidth="1"/>
    <col min="12" max="12" width="16.140625" style="7" customWidth="1"/>
    <col min="13" max="13" width="15.00390625" style="7" customWidth="1"/>
    <col min="14" max="14" width="15.28125" style="7" customWidth="1"/>
    <col min="15" max="15" width="15.00390625" style="7" customWidth="1"/>
    <col min="16" max="16" width="15.8515625" style="7" customWidth="1"/>
    <col min="17" max="17" width="15.421875" style="7" customWidth="1"/>
    <col min="18" max="18" width="15.140625" style="7" customWidth="1"/>
    <col min="19" max="19" width="15.8515625" style="7" customWidth="1"/>
    <col min="20" max="20" width="15.28125" style="7" customWidth="1"/>
    <col min="21" max="21" width="13.57421875" style="7" customWidth="1"/>
    <col min="22" max="22" width="15.140625" style="7" customWidth="1"/>
    <col min="23" max="23" width="14.7109375" style="7" customWidth="1"/>
    <col min="24" max="25" width="14.8515625" style="7" customWidth="1"/>
    <col min="26" max="26" width="15.28125" style="7" customWidth="1"/>
    <col min="27" max="27" width="14.7109375" style="7" customWidth="1"/>
    <col min="28" max="28" width="15.00390625" style="7" customWidth="1"/>
    <col min="29" max="30" width="14.7109375" style="7" customWidth="1"/>
    <col min="31" max="31" width="14.8515625" style="7" customWidth="1"/>
    <col min="32" max="32" width="14.7109375" style="7" customWidth="1"/>
    <col min="33" max="33" width="15.421875" style="7" customWidth="1"/>
    <col min="34" max="35" width="14.7109375" style="7" customWidth="1"/>
    <col min="36" max="36" width="15.00390625" style="7" customWidth="1"/>
    <col min="37" max="37" width="14.7109375" style="7" customWidth="1"/>
    <col min="38" max="38" width="15.00390625" style="7" customWidth="1"/>
    <col min="39" max="39" width="14.7109375" style="7" customWidth="1"/>
    <col min="40" max="40" width="15.140625" style="7" customWidth="1"/>
    <col min="41" max="41" width="14.7109375" style="7" customWidth="1"/>
    <col min="42" max="42" width="15.00390625" style="7" customWidth="1"/>
    <col min="43" max="43" width="15.421875" style="7" customWidth="1"/>
    <col min="44" max="45" width="14.7109375" style="7" customWidth="1"/>
    <col min="46" max="47" width="15.00390625" style="7" customWidth="1"/>
    <col min="48" max="48" width="15.140625" style="7" customWidth="1"/>
    <col min="49" max="49" width="15.28125" style="7" customWidth="1"/>
    <col min="50" max="50" width="15.57421875" style="7" customWidth="1"/>
    <col min="51" max="51" width="15.7109375" style="7" customWidth="1"/>
    <col min="52" max="52" width="12.57421875" style="7" customWidth="1"/>
    <col min="53" max="54" width="16.421875" style="7" customWidth="1"/>
    <col min="55" max="55" width="12.140625" style="7" customWidth="1"/>
    <col min="56" max="56" width="15.140625" style="10" customWidth="1"/>
    <col min="57" max="57" width="13.7109375" style="10" bestFit="1" customWidth="1"/>
    <col min="58" max="16384" width="9.140625" style="10" customWidth="1"/>
  </cols>
  <sheetData>
    <row r="1" spans="1:53" ht="45.75" customHeight="1">
      <c r="A1" s="100" t="s">
        <v>135</v>
      </c>
      <c r="B1" s="100"/>
      <c r="C1" s="100"/>
      <c r="D1" s="100"/>
      <c r="E1" s="100"/>
      <c r="F1" s="100"/>
      <c r="G1" s="29" t="s">
        <v>145</v>
      </c>
      <c r="H1" s="29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</row>
    <row r="2" spans="1:55" ht="14.25" customHeight="1">
      <c r="A2" s="43"/>
      <c r="B2" s="11"/>
      <c r="C2" s="39" t="s">
        <v>0</v>
      </c>
      <c r="D2" s="40" t="s">
        <v>1</v>
      </c>
      <c r="E2" s="40" t="s">
        <v>86</v>
      </c>
      <c r="F2" s="40" t="s">
        <v>91</v>
      </c>
      <c r="G2" s="41" t="s">
        <v>87</v>
      </c>
      <c r="H2" s="41" t="s">
        <v>103</v>
      </c>
      <c r="I2" s="41" t="s">
        <v>92</v>
      </c>
      <c r="J2" s="41" t="s">
        <v>14</v>
      </c>
      <c r="K2" s="102" t="s">
        <v>95</v>
      </c>
      <c r="L2" s="103"/>
      <c r="M2" s="103"/>
      <c r="N2" s="103"/>
      <c r="O2" s="103"/>
      <c r="P2" s="103"/>
      <c r="Q2" s="103"/>
      <c r="R2" s="103"/>
      <c r="S2" s="103"/>
      <c r="T2" s="94" t="s">
        <v>47</v>
      </c>
      <c r="U2" s="95"/>
      <c r="V2" s="102" t="s">
        <v>60</v>
      </c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4"/>
      <c r="AY2" s="94" t="s">
        <v>2</v>
      </c>
      <c r="AZ2" s="95"/>
      <c r="BA2" s="41" t="s">
        <v>3</v>
      </c>
      <c r="BB2" s="94" t="s">
        <v>15</v>
      </c>
      <c r="BC2" s="95"/>
    </row>
    <row r="3" spans="1:55" ht="35.25" customHeight="1">
      <c r="A3" s="96" t="s">
        <v>4</v>
      </c>
      <c r="B3" s="98" t="s">
        <v>5</v>
      </c>
      <c r="C3" s="18" t="s">
        <v>94</v>
      </c>
      <c r="D3" s="18" t="s">
        <v>101</v>
      </c>
      <c r="E3" s="18" t="s">
        <v>104</v>
      </c>
      <c r="F3" s="18" t="s">
        <v>90</v>
      </c>
      <c r="G3" s="18" t="s">
        <v>93</v>
      </c>
      <c r="H3" s="18" t="s">
        <v>102</v>
      </c>
      <c r="I3" s="18" t="s">
        <v>88</v>
      </c>
      <c r="J3" s="18" t="s">
        <v>89</v>
      </c>
      <c r="K3" s="18" t="s">
        <v>51</v>
      </c>
      <c r="L3" s="18" t="s">
        <v>52</v>
      </c>
      <c r="M3" s="18" t="s">
        <v>53</v>
      </c>
      <c r="N3" s="18" t="s">
        <v>54</v>
      </c>
      <c r="O3" s="18" t="s">
        <v>123</v>
      </c>
      <c r="P3" s="18" t="s">
        <v>55</v>
      </c>
      <c r="Q3" s="18" t="s">
        <v>56</v>
      </c>
      <c r="R3" s="18" t="s">
        <v>58</v>
      </c>
      <c r="S3" s="18" t="s">
        <v>57</v>
      </c>
      <c r="T3" s="99" t="s">
        <v>39</v>
      </c>
      <c r="U3" s="99"/>
      <c r="V3" s="18" t="s">
        <v>59</v>
      </c>
      <c r="W3" s="18" t="s">
        <v>67</v>
      </c>
      <c r="X3" s="18" t="s">
        <v>68</v>
      </c>
      <c r="Y3" s="18" t="s">
        <v>69</v>
      </c>
      <c r="Z3" s="18" t="s">
        <v>70</v>
      </c>
      <c r="AA3" s="18" t="s">
        <v>71</v>
      </c>
      <c r="AB3" s="18" t="s">
        <v>72</v>
      </c>
      <c r="AC3" s="18" t="s">
        <v>73</v>
      </c>
      <c r="AD3" s="18" t="s">
        <v>105</v>
      </c>
      <c r="AE3" s="18" t="s">
        <v>74</v>
      </c>
      <c r="AF3" s="18" t="s">
        <v>75</v>
      </c>
      <c r="AG3" s="18" t="s">
        <v>76</v>
      </c>
      <c r="AH3" s="18" t="s">
        <v>77</v>
      </c>
      <c r="AI3" s="18" t="s">
        <v>78</v>
      </c>
      <c r="AJ3" s="18" t="s">
        <v>79</v>
      </c>
      <c r="AK3" s="18" t="s">
        <v>80</v>
      </c>
      <c r="AL3" s="18" t="s">
        <v>81</v>
      </c>
      <c r="AM3" s="18" t="s">
        <v>82</v>
      </c>
      <c r="AN3" s="18" t="s">
        <v>83</v>
      </c>
      <c r="AO3" s="18" t="s">
        <v>106</v>
      </c>
      <c r="AP3" s="18" t="s">
        <v>84</v>
      </c>
      <c r="AQ3" s="18" t="s">
        <v>85</v>
      </c>
      <c r="AR3" s="18" t="s">
        <v>61</v>
      </c>
      <c r="AS3" s="18" t="s">
        <v>62</v>
      </c>
      <c r="AT3" s="18" t="s">
        <v>63</v>
      </c>
      <c r="AU3" s="18" t="s">
        <v>64</v>
      </c>
      <c r="AV3" s="18" t="s">
        <v>107</v>
      </c>
      <c r="AW3" s="18" t="s">
        <v>65</v>
      </c>
      <c r="AX3" s="18" t="s">
        <v>66</v>
      </c>
      <c r="AY3" s="99" t="s">
        <v>2</v>
      </c>
      <c r="AZ3" s="99"/>
      <c r="BA3" s="18" t="s">
        <v>13</v>
      </c>
      <c r="BB3" s="99" t="s">
        <v>16</v>
      </c>
      <c r="BC3" s="99"/>
    </row>
    <row r="4" spans="1:55" s="12" customFormat="1" ht="73.5" customHeight="1">
      <c r="A4" s="97"/>
      <c r="B4" s="97"/>
      <c r="C4" s="18" t="s">
        <v>46</v>
      </c>
      <c r="D4" s="18" t="s">
        <v>50</v>
      </c>
      <c r="E4" s="18" t="s">
        <v>50</v>
      </c>
      <c r="F4" s="18" t="s">
        <v>50</v>
      </c>
      <c r="G4" s="18" t="s">
        <v>46</v>
      </c>
      <c r="H4" s="18" t="s">
        <v>46</v>
      </c>
      <c r="I4" s="18" t="s">
        <v>50</v>
      </c>
      <c r="J4" s="18" t="s">
        <v>50</v>
      </c>
      <c r="K4" s="18" t="s">
        <v>50</v>
      </c>
      <c r="L4" s="18" t="s">
        <v>46</v>
      </c>
      <c r="M4" s="18" t="s">
        <v>46</v>
      </c>
      <c r="N4" s="18" t="s">
        <v>50</v>
      </c>
      <c r="O4" s="18" t="s">
        <v>46</v>
      </c>
      <c r="P4" s="18" t="s">
        <v>50</v>
      </c>
      <c r="Q4" s="18" t="s">
        <v>46</v>
      </c>
      <c r="R4" s="18" t="s">
        <v>46</v>
      </c>
      <c r="S4" s="18" t="s">
        <v>46</v>
      </c>
      <c r="T4" s="1" t="s">
        <v>46</v>
      </c>
      <c r="U4" s="1" t="s">
        <v>48</v>
      </c>
      <c r="V4" s="18" t="s">
        <v>46</v>
      </c>
      <c r="W4" s="18" t="s">
        <v>46</v>
      </c>
      <c r="X4" s="18" t="s">
        <v>46</v>
      </c>
      <c r="Y4" s="18" t="s">
        <v>46</v>
      </c>
      <c r="Z4" s="18" t="s">
        <v>46</v>
      </c>
      <c r="AA4" s="18" t="s">
        <v>46</v>
      </c>
      <c r="AB4" s="18" t="s">
        <v>46</v>
      </c>
      <c r="AC4" s="18" t="s">
        <v>46</v>
      </c>
      <c r="AD4" s="18" t="s">
        <v>46</v>
      </c>
      <c r="AE4" s="18" t="s">
        <v>46</v>
      </c>
      <c r="AF4" s="18" t="s">
        <v>46</v>
      </c>
      <c r="AG4" s="18" t="s">
        <v>46</v>
      </c>
      <c r="AH4" s="18" t="s">
        <v>46</v>
      </c>
      <c r="AI4" s="18" t="s">
        <v>46</v>
      </c>
      <c r="AJ4" s="18" t="s">
        <v>46</v>
      </c>
      <c r="AK4" s="18" t="s">
        <v>46</v>
      </c>
      <c r="AL4" s="18" t="s">
        <v>46</v>
      </c>
      <c r="AM4" s="18" t="s">
        <v>46</v>
      </c>
      <c r="AN4" s="18" t="s">
        <v>46</v>
      </c>
      <c r="AO4" s="18" t="s">
        <v>46</v>
      </c>
      <c r="AP4" s="18" t="s">
        <v>46</v>
      </c>
      <c r="AQ4" s="18" t="s">
        <v>46</v>
      </c>
      <c r="AR4" s="18" t="s">
        <v>46</v>
      </c>
      <c r="AS4" s="18" t="s">
        <v>46</v>
      </c>
      <c r="AT4" s="18" t="s">
        <v>46</v>
      </c>
      <c r="AU4" s="18" t="s">
        <v>46</v>
      </c>
      <c r="AV4" s="18" t="s">
        <v>46</v>
      </c>
      <c r="AW4" s="18" t="s">
        <v>46</v>
      </c>
      <c r="AX4" s="18" t="s">
        <v>46</v>
      </c>
      <c r="AY4" s="18" t="s">
        <v>46</v>
      </c>
      <c r="AZ4" s="1" t="s">
        <v>49</v>
      </c>
      <c r="BA4" s="18" t="s">
        <v>17</v>
      </c>
      <c r="BB4" s="18" t="s">
        <v>46</v>
      </c>
      <c r="BC4" s="1" t="s">
        <v>49</v>
      </c>
    </row>
    <row r="5" spans="1:55" s="12" customFormat="1" ht="25.5" customHeight="1">
      <c r="A5" s="42">
        <v>1</v>
      </c>
      <c r="B5" s="36" t="s">
        <v>114</v>
      </c>
      <c r="C5" s="18">
        <v>413.45</v>
      </c>
      <c r="D5" s="18">
        <v>1585.599</v>
      </c>
      <c r="E5" s="18">
        <v>3052.357</v>
      </c>
      <c r="F5" s="18">
        <v>641.952</v>
      </c>
      <c r="G5" s="18">
        <v>144.347</v>
      </c>
      <c r="H5" s="18">
        <v>2893.85</v>
      </c>
      <c r="I5" s="18">
        <v>1286.23</v>
      </c>
      <c r="J5" s="18">
        <v>5488.162</v>
      </c>
      <c r="K5" s="18">
        <v>10839.29</v>
      </c>
      <c r="L5" s="18">
        <v>12416.243</v>
      </c>
      <c r="M5" s="18">
        <v>15831.458</v>
      </c>
      <c r="N5" s="18">
        <v>12638.91</v>
      </c>
      <c r="O5" s="18">
        <v>2163.3</v>
      </c>
      <c r="P5" s="18">
        <v>309.1</v>
      </c>
      <c r="Q5" s="18">
        <v>1100.52</v>
      </c>
      <c r="R5" s="18">
        <v>2675.25</v>
      </c>
      <c r="S5" s="18">
        <v>787.97</v>
      </c>
      <c r="T5" s="18">
        <v>58762.04</v>
      </c>
      <c r="U5" s="1">
        <f>K5+L5+M5+N5+O5+P5+Q5+R5+S5</f>
        <v>58762.041</v>
      </c>
      <c r="V5" s="18">
        <v>31199.1</v>
      </c>
      <c r="W5" s="18">
        <v>3304.73</v>
      </c>
      <c r="X5" s="18">
        <v>5134.04</v>
      </c>
      <c r="Y5" s="18">
        <v>3423.39</v>
      </c>
      <c r="Z5" s="18">
        <v>1890.29</v>
      </c>
      <c r="AA5" s="18">
        <v>11445.36</v>
      </c>
      <c r="AB5" s="18">
        <v>6586.56</v>
      </c>
      <c r="AC5" s="18">
        <v>10915.19</v>
      </c>
      <c r="AD5" s="18">
        <v>173.61</v>
      </c>
      <c r="AE5" s="18">
        <v>13180.76</v>
      </c>
      <c r="AF5" s="18">
        <v>9905.75</v>
      </c>
      <c r="AG5" s="18">
        <v>7195.36</v>
      </c>
      <c r="AH5" s="18">
        <v>5441.93</v>
      </c>
      <c r="AI5" s="18">
        <v>3246.84</v>
      </c>
      <c r="AJ5" s="18">
        <v>2121.22</v>
      </c>
      <c r="AK5" s="18">
        <v>14504.96</v>
      </c>
      <c r="AL5" s="18">
        <v>29379.18</v>
      </c>
      <c r="AM5" s="18">
        <v>79.9</v>
      </c>
      <c r="AN5" s="18">
        <v>33481.62</v>
      </c>
      <c r="AO5" s="18">
        <f>AO8+AO11+AO14</f>
        <v>38958.76</v>
      </c>
      <c r="AP5" s="18">
        <v>62798.82</v>
      </c>
      <c r="AQ5" s="18">
        <v>551.85</v>
      </c>
      <c r="AR5" s="18">
        <v>140601.9</v>
      </c>
      <c r="AS5" s="18">
        <v>83468.25</v>
      </c>
      <c r="AT5" s="18">
        <v>83007.18</v>
      </c>
      <c r="AU5" s="18">
        <v>72153.44</v>
      </c>
      <c r="AV5" s="18">
        <f>AV8+AV11+AV14</f>
        <v>15075.720000000001</v>
      </c>
      <c r="AW5" s="18">
        <v>12788.71</v>
      </c>
      <c r="AX5" s="18">
        <v>10827.79</v>
      </c>
      <c r="AY5" s="18">
        <f>AY8+AY11+AY14</f>
        <v>712842.2400000001</v>
      </c>
      <c r="AZ5" s="1"/>
      <c r="BA5" s="18">
        <v>11243.266</v>
      </c>
      <c r="BB5" s="21">
        <f>BA5+AY5+T5+J5+I5+H5+G5+F5+E5+D5+C5</f>
        <v>798353.493</v>
      </c>
      <c r="BC5" s="1"/>
    </row>
    <row r="6" spans="1:55" s="12" customFormat="1" ht="17.25" customHeight="1">
      <c r="A6" s="34"/>
      <c r="B6" s="42" t="s">
        <v>113</v>
      </c>
      <c r="C6" s="1">
        <v>280.951</v>
      </c>
      <c r="D6" s="1">
        <v>217.93</v>
      </c>
      <c r="E6" s="1">
        <v>222.324</v>
      </c>
      <c r="F6" s="1">
        <v>436.224</v>
      </c>
      <c r="G6" s="1">
        <v>98.088</v>
      </c>
      <c r="H6" s="1">
        <v>310.198</v>
      </c>
      <c r="I6" s="1">
        <v>335.661</v>
      </c>
      <c r="J6" s="1">
        <v>3729.359</v>
      </c>
      <c r="K6" s="1">
        <v>8617.59</v>
      </c>
      <c r="L6" s="1">
        <v>9871.319</v>
      </c>
      <c r="M6" s="1">
        <v>12586.526</v>
      </c>
      <c r="N6" s="1">
        <v>10048.346</v>
      </c>
      <c r="O6" s="1">
        <v>1719.892</v>
      </c>
      <c r="P6" s="1">
        <v>245.743</v>
      </c>
      <c r="Q6" s="1">
        <v>874.947</v>
      </c>
      <c r="R6" s="1">
        <v>2126.911</v>
      </c>
      <c r="S6" s="1">
        <v>626.46</v>
      </c>
      <c r="T6" s="1">
        <v>46717.73</v>
      </c>
      <c r="U6" s="1">
        <f>K6+L6+M6+N6+O6+P6+Q6+R6+S6</f>
        <v>46717.734</v>
      </c>
      <c r="V6" s="1">
        <v>25705.568</v>
      </c>
      <c r="W6" s="1">
        <v>2722.837</v>
      </c>
      <c r="X6" s="1">
        <v>4230.035</v>
      </c>
      <c r="Y6" s="1">
        <v>2820.596</v>
      </c>
      <c r="Z6" s="1">
        <v>1557.449</v>
      </c>
      <c r="AA6" s="1">
        <v>9430.054</v>
      </c>
      <c r="AB6" s="1">
        <v>5426.796</v>
      </c>
      <c r="AC6" s="1">
        <v>8993.24</v>
      </c>
      <c r="AD6" s="1">
        <v>143.04</v>
      </c>
      <c r="AE6" s="1">
        <v>10859.894</v>
      </c>
      <c r="AF6" s="1">
        <v>8161.545</v>
      </c>
      <c r="AG6" s="1">
        <v>5928.405</v>
      </c>
      <c r="AH6" s="1">
        <v>4483.718</v>
      </c>
      <c r="AI6" s="1">
        <v>2675.14</v>
      </c>
      <c r="AJ6" s="1">
        <v>1747.715</v>
      </c>
      <c r="AK6" s="1">
        <v>11950.926</v>
      </c>
      <c r="AL6" s="1">
        <v>24206.091</v>
      </c>
      <c r="AM6" s="1">
        <v>65.832</v>
      </c>
      <c r="AN6" s="1">
        <v>27586.178</v>
      </c>
      <c r="AO6" s="1">
        <v>32098.895</v>
      </c>
      <c r="AP6" s="1">
        <v>51741.204</v>
      </c>
      <c r="AQ6" s="1">
        <v>454.682</v>
      </c>
      <c r="AR6" s="1">
        <v>115844.724</v>
      </c>
      <c r="AS6" s="1">
        <v>68771.168</v>
      </c>
      <c r="AT6" s="1">
        <v>68391.279</v>
      </c>
      <c r="AU6" s="1">
        <v>59448.66</v>
      </c>
      <c r="AV6" s="1">
        <v>12421.184</v>
      </c>
      <c r="AW6" s="1">
        <v>10536.873</v>
      </c>
      <c r="AX6" s="1">
        <v>8921.235</v>
      </c>
      <c r="AY6" s="1">
        <f>AY9+AY12+AY15</f>
        <v>587324.967</v>
      </c>
      <c r="AZ6" s="1"/>
      <c r="BA6" s="1">
        <v>9431.558</v>
      </c>
      <c r="BB6" s="18">
        <f>BA6+AY6+T6+J6+I6+H6+G6+F6+E6+D6+C6</f>
        <v>649104.99</v>
      </c>
      <c r="BC6" s="1"/>
    </row>
    <row r="7" spans="1:55" s="12" customFormat="1" ht="18" customHeight="1">
      <c r="A7" s="34"/>
      <c r="B7" s="42" t="s">
        <v>41</v>
      </c>
      <c r="C7" s="1">
        <v>1471.61</v>
      </c>
      <c r="D7" s="1">
        <v>7275.73</v>
      </c>
      <c r="E7" s="1">
        <v>13729.32</v>
      </c>
      <c r="F7" s="1">
        <v>1471.61</v>
      </c>
      <c r="G7" s="1">
        <v>1471.61</v>
      </c>
      <c r="H7" s="1">
        <v>9329.04</v>
      </c>
      <c r="I7" s="1">
        <v>3832.03</v>
      </c>
      <c r="J7" s="1">
        <v>1471.61</v>
      </c>
      <c r="K7" s="1">
        <v>1257.81</v>
      </c>
      <c r="L7" s="1">
        <v>1257.81</v>
      </c>
      <c r="M7" s="1">
        <v>1257.81</v>
      </c>
      <c r="N7" s="1">
        <v>1257.81</v>
      </c>
      <c r="O7" s="1">
        <v>1257.81</v>
      </c>
      <c r="P7" s="1">
        <v>1257.81</v>
      </c>
      <c r="Q7" s="1">
        <v>1257.81</v>
      </c>
      <c r="R7" s="1">
        <v>1257.81</v>
      </c>
      <c r="S7" s="1">
        <v>1257.81</v>
      </c>
      <c r="T7" s="1">
        <v>1257.81</v>
      </c>
      <c r="U7" s="1">
        <v>1257.81</v>
      </c>
      <c r="V7" s="1">
        <v>1213.71</v>
      </c>
      <c r="W7" s="1">
        <v>1213.71</v>
      </c>
      <c r="X7" s="1">
        <v>1213.71</v>
      </c>
      <c r="Y7" s="1">
        <v>1213.71</v>
      </c>
      <c r="Z7" s="1">
        <v>1213.71</v>
      </c>
      <c r="AA7" s="1">
        <v>1213.71</v>
      </c>
      <c r="AB7" s="1">
        <v>1213.71</v>
      </c>
      <c r="AC7" s="1">
        <v>1213.71</v>
      </c>
      <c r="AD7" s="1">
        <v>1213.71</v>
      </c>
      <c r="AE7" s="1">
        <v>1213.71</v>
      </c>
      <c r="AF7" s="1">
        <v>1213.71</v>
      </c>
      <c r="AG7" s="1">
        <v>1213.71</v>
      </c>
      <c r="AH7" s="1">
        <v>1213.71</v>
      </c>
      <c r="AI7" s="1">
        <v>1213.71</v>
      </c>
      <c r="AJ7" s="1">
        <v>1213.71</v>
      </c>
      <c r="AK7" s="1">
        <v>1213.71</v>
      </c>
      <c r="AL7" s="1">
        <v>1213.71</v>
      </c>
      <c r="AM7" s="1">
        <v>1213.71</v>
      </c>
      <c r="AN7" s="1">
        <v>1213.71</v>
      </c>
      <c r="AO7" s="1">
        <v>1213.71</v>
      </c>
      <c r="AP7" s="1">
        <v>1213.71</v>
      </c>
      <c r="AQ7" s="1">
        <v>1213.71</v>
      </c>
      <c r="AR7" s="1">
        <v>1213.71</v>
      </c>
      <c r="AS7" s="1">
        <v>1213.71</v>
      </c>
      <c r="AT7" s="1">
        <v>1213.71</v>
      </c>
      <c r="AU7" s="1">
        <v>1213.71</v>
      </c>
      <c r="AV7" s="1">
        <v>1213.71</v>
      </c>
      <c r="AW7" s="1">
        <v>1213.71</v>
      </c>
      <c r="AX7" s="1">
        <v>1213.71</v>
      </c>
      <c r="AY7" s="1">
        <v>1213.71</v>
      </c>
      <c r="AZ7" s="1"/>
      <c r="BA7" s="1">
        <v>1192.09</v>
      </c>
      <c r="BB7" s="21">
        <f>BB5/BB6*1000</f>
        <v>1229.9296805590727</v>
      </c>
      <c r="BC7" s="1"/>
    </row>
    <row r="8" spans="1:55" s="12" customFormat="1" ht="23.25" customHeight="1">
      <c r="A8" s="34" t="s">
        <v>132</v>
      </c>
      <c r="B8" s="36" t="s">
        <v>42</v>
      </c>
      <c r="C8" s="18">
        <v>413.45</v>
      </c>
      <c r="D8" s="18"/>
      <c r="E8" s="18"/>
      <c r="F8" s="18">
        <v>420.558</v>
      </c>
      <c r="G8" s="18"/>
      <c r="H8" s="18">
        <v>0</v>
      </c>
      <c r="I8" s="18">
        <v>16.278</v>
      </c>
      <c r="J8" s="18">
        <v>4135.886</v>
      </c>
      <c r="K8" s="18">
        <v>8489.49</v>
      </c>
      <c r="L8" s="18">
        <v>9897.75</v>
      </c>
      <c r="M8" s="18">
        <v>13431.664</v>
      </c>
      <c r="N8" s="18">
        <v>11036.72</v>
      </c>
      <c r="O8" s="18">
        <v>1023.15</v>
      </c>
      <c r="P8" s="1"/>
      <c r="Q8" s="1"/>
      <c r="R8" s="18">
        <v>1556.79</v>
      </c>
      <c r="S8" s="18">
        <v>509.99</v>
      </c>
      <c r="T8" s="1">
        <f>S8+R8+Q8+P8+O8+N8+M8+L8+K8</f>
        <v>45945.554</v>
      </c>
      <c r="U8" s="1"/>
      <c r="V8" s="18">
        <v>25578.06</v>
      </c>
      <c r="W8" s="18">
        <v>3221.84</v>
      </c>
      <c r="X8" s="1"/>
      <c r="Y8" s="18">
        <v>2859.71</v>
      </c>
      <c r="Z8" s="18">
        <v>1228.89</v>
      </c>
      <c r="AA8" s="18">
        <v>8796.89</v>
      </c>
      <c r="AB8" s="18">
        <v>5570.55</v>
      </c>
      <c r="AC8" s="18">
        <v>5882.72</v>
      </c>
      <c r="AD8" s="18">
        <v>173.61</v>
      </c>
      <c r="AE8" s="18">
        <v>9789.56</v>
      </c>
      <c r="AF8" s="18">
        <v>4519.64</v>
      </c>
      <c r="AG8" s="18">
        <v>3809.89</v>
      </c>
      <c r="AH8" s="18">
        <v>3599.4</v>
      </c>
      <c r="AI8" s="18">
        <v>2516.14</v>
      </c>
      <c r="AJ8" s="18">
        <v>1999.46</v>
      </c>
      <c r="AK8" s="18">
        <v>12138.04</v>
      </c>
      <c r="AL8" s="18">
        <v>18655.47</v>
      </c>
      <c r="AM8" s="1"/>
      <c r="AN8" s="18">
        <v>15819.12</v>
      </c>
      <c r="AO8" s="18">
        <v>23706.81</v>
      </c>
      <c r="AP8" s="18">
        <v>50690.37</v>
      </c>
      <c r="AQ8" s="1"/>
      <c r="AR8" s="18">
        <v>125834.71</v>
      </c>
      <c r="AS8" s="18">
        <v>68571.75</v>
      </c>
      <c r="AT8" s="18">
        <v>70710.65</v>
      </c>
      <c r="AU8" s="18">
        <v>50848.3</v>
      </c>
      <c r="AV8" s="18">
        <v>7858.47</v>
      </c>
      <c r="AW8" s="18">
        <v>11857.93</v>
      </c>
      <c r="AX8" s="18">
        <v>6321.9</v>
      </c>
      <c r="AY8" s="18">
        <f>V8+W8+X8+Y8+Z8+AA8+AB8+AC8+AD8+AE8+AF8+AG8+AH8+AI8+AJ8+AK8+AL8+AM8+AN8+AO8+AP8+AQ8+AR8+AS8+AT8+AU8+AV8+AW8+AX8</f>
        <v>542559.8800000001</v>
      </c>
      <c r="AZ8" s="1"/>
      <c r="BA8" s="18">
        <v>7484.55</v>
      </c>
      <c r="BB8" s="21">
        <f>BA8+AY8+T8+J8+I8+F8+C8</f>
        <v>600976.1560000002</v>
      </c>
      <c r="BC8" s="1"/>
    </row>
    <row r="9" spans="1:55" s="12" customFormat="1" ht="18.75" customHeight="1">
      <c r="A9" s="34"/>
      <c r="B9" s="42" t="s">
        <v>40</v>
      </c>
      <c r="C9" s="1">
        <v>280.951</v>
      </c>
      <c r="D9" s="18"/>
      <c r="E9" s="18"/>
      <c r="F9" s="1">
        <v>285.751</v>
      </c>
      <c r="G9" s="18"/>
      <c r="H9" s="18">
        <f>H11+H14</f>
        <v>2893.7439999999997</v>
      </c>
      <c r="I9" s="1">
        <v>4.248</v>
      </c>
      <c r="J9" s="1">
        <v>2810.45</v>
      </c>
      <c r="K9" s="1">
        <v>6749.423</v>
      </c>
      <c r="L9" s="1">
        <v>7869.035</v>
      </c>
      <c r="M9" s="1">
        <v>10678.611</v>
      </c>
      <c r="N9" s="1">
        <v>8774.555</v>
      </c>
      <c r="O9" s="1">
        <v>813.44</v>
      </c>
      <c r="P9" s="1"/>
      <c r="Q9" s="1"/>
      <c r="R9" s="1">
        <v>1237.695</v>
      </c>
      <c r="S9" s="1">
        <v>405.461</v>
      </c>
      <c r="T9" s="1">
        <f aca="true" t="shared" si="0" ref="T9:T15">S9+R9+Q9+P9+O9+N9+M9+L9+K9</f>
        <v>36528.22</v>
      </c>
      <c r="U9" s="1"/>
      <c r="V9" s="1">
        <v>21074.28</v>
      </c>
      <c r="W9" s="1">
        <v>2654.541</v>
      </c>
      <c r="X9" s="1"/>
      <c r="Y9" s="1">
        <v>2356.172</v>
      </c>
      <c r="Z9" s="1">
        <v>1012.509</v>
      </c>
      <c r="AA9" s="1">
        <v>7247.93</v>
      </c>
      <c r="AB9" s="1">
        <v>4589.686</v>
      </c>
      <c r="AC9" s="1">
        <v>4846.893</v>
      </c>
      <c r="AD9" s="1">
        <v>143.04</v>
      </c>
      <c r="AE9" s="1">
        <v>8065.817</v>
      </c>
      <c r="AF9" s="1">
        <v>3723.823</v>
      </c>
      <c r="AG9" s="1">
        <v>3139.048</v>
      </c>
      <c r="AH9" s="1">
        <v>2965.62</v>
      </c>
      <c r="AI9" s="1">
        <v>2073.096</v>
      </c>
      <c r="AJ9" s="1">
        <v>1647.394</v>
      </c>
      <c r="AK9" s="1">
        <v>10000.773</v>
      </c>
      <c r="AL9" s="1">
        <v>15370.612</v>
      </c>
      <c r="AM9" s="1"/>
      <c r="AN9" s="1">
        <v>13033.691</v>
      </c>
      <c r="AO9" s="1">
        <v>19532.512</v>
      </c>
      <c r="AP9" s="1">
        <v>41764.812</v>
      </c>
      <c r="AQ9" s="1"/>
      <c r="AR9" s="1">
        <v>103677.737</v>
      </c>
      <c r="AS9" s="1">
        <v>56497.636</v>
      </c>
      <c r="AT9" s="1">
        <v>58259.924</v>
      </c>
      <c r="AU9" s="1">
        <v>41894.931</v>
      </c>
      <c r="AV9" s="1">
        <v>6474.75</v>
      </c>
      <c r="AW9" s="1">
        <v>9769.985</v>
      </c>
      <c r="AX9" s="1">
        <v>5208.741</v>
      </c>
      <c r="AY9" s="1">
        <f>V9+W9+X9+Y9+Z9+AA9+AB9+AC9+AD9+AE9+AF9+AG9+AH9+AI9+AJ9+AK9+AL9+AM9+AN9+AO9+AP9+AQ9+AR9+AS9+AT9+AU9+AV9+AW9+AX9</f>
        <v>447025.953</v>
      </c>
      <c r="AZ9" s="1"/>
      <c r="BA9" s="51">
        <v>6278.51</v>
      </c>
      <c r="BB9" s="21">
        <f>BA9+AY9+T9+J9+I9+H9+G9+F9+C9</f>
        <v>496107.827</v>
      </c>
      <c r="BC9" s="1"/>
    </row>
    <row r="10" spans="1:55" s="12" customFormat="1" ht="18" customHeight="1">
      <c r="A10" s="34"/>
      <c r="B10" s="42" t="s">
        <v>41</v>
      </c>
      <c r="C10" s="1">
        <v>1471.61</v>
      </c>
      <c r="D10" s="18"/>
      <c r="E10" s="18"/>
      <c r="F10" s="1">
        <v>1471.61</v>
      </c>
      <c r="G10" s="18"/>
      <c r="H10" s="18"/>
      <c r="I10" s="1">
        <v>3382.03</v>
      </c>
      <c r="J10" s="1">
        <v>1471.61</v>
      </c>
      <c r="K10" s="1">
        <v>1257.81</v>
      </c>
      <c r="L10" s="1">
        <v>1257.81</v>
      </c>
      <c r="M10" s="1">
        <v>1257.81</v>
      </c>
      <c r="N10" s="1">
        <v>1257.81</v>
      </c>
      <c r="O10" s="1">
        <v>1257.81</v>
      </c>
      <c r="P10" s="1"/>
      <c r="Q10" s="1"/>
      <c r="R10" s="1">
        <v>1257.81</v>
      </c>
      <c r="S10" s="1">
        <v>1257.81</v>
      </c>
      <c r="T10" s="1">
        <v>1257.81</v>
      </c>
      <c r="U10" s="1"/>
      <c r="V10" s="1">
        <v>1213.71</v>
      </c>
      <c r="W10" s="1">
        <v>1213.71</v>
      </c>
      <c r="X10" s="1"/>
      <c r="Y10" s="1">
        <v>1213.71</v>
      </c>
      <c r="Z10" s="1">
        <v>1213.71</v>
      </c>
      <c r="AA10" s="1">
        <v>1213.71</v>
      </c>
      <c r="AB10" s="1">
        <v>1213.71</v>
      </c>
      <c r="AC10" s="1">
        <v>1213.71</v>
      </c>
      <c r="AD10" s="1">
        <v>1213.71</v>
      </c>
      <c r="AE10" s="1">
        <v>1213.71</v>
      </c>
      <c r="AF10" s="1">
        <v>1213.71</v>
      </c>
      <c r="AG10" s="1">
        <v>1213.71</v>
      </c>
      <c r="AH10" s="1">
        <v>1213.71</v>
      </c>
      <c r="AI10" s="1">
        <v>1213.71</v>
      </c>
      <c r="AJ10" s="1">
        <v>1213.71</v>
      </c>
      <c r="AK10" s="1">
        <v>1213.71</v>
      </c>
      <c r="AL10" s="1">
        <v>1213.71</v>
      </c>
      <c r="AM10" s="1"/>
      <c r="AN10" s="1">
        <v>1213.71</v>
      </c>
      <c r="AO10" s="1">
        <v>1213.71</v>
      </c>
      <c r="AP10" s="1">
        <v>1213.71</v>
      </c>
      <c r="AQ10" s="1"/>
      <c r="AR10" s="1">
        <v>1213.71</v>
      </c>
      <c r="AS10" s="1">
        <v>1213.71</v>
      </c>
      <c r="AT10" s="1">
        <v>1213.71</v>
      </c>
      <c r="AU10" s="1">
        <v>1213.71</v>
      </c>
      <c r="AV10" s="1">
        <v>1213.71</v>
      </c>
      <c r="AW10" s="1">
        <v>1213.71</v>
      </c>
      <c r="AX10" s="1">
        <v>1213.71</v>
      </c>
      <c r="AY10" s="1">
        <v>1213.71</v>
      </c>
      <c r="AZ10" s="1"/>
      <c r="BA10" s="51">
        <v>1192.09</v>
      </c>
      <c r="BB10" s="21">
        <f>BB8/BB9*1000</f>
        <v>1211.3821296352985</v>
      </c>
      <c r="BC10" s="1"/>
    </row>
    <row r="11" spans="1:55" s="12" customFormat="1" ht="25.5" customHeight="1">
      <c r="A11" s="34" t="s">
        <v>133</v>
      </c>
      <c r="B11" s="36" t="s">
        <v>43</v>
      </c>
      <c r="C11" s="18"/>
      <c r="D11" s="18">
        <v>1585.599</v>
      </c>
      <c r="E11" s="18">
        <v>3052.357</v>
      </c>
      <c r="F11" s="18">
        <v>221.393</v>
      </c>
      <c r="G11" s="18"/>
      <c r="H11" s="18">
        <v>2367.79</v>
      </c>
      <c r="I11" s="18">
        <v>617.114</v>
      </c>
      <c r="J11" s="18">
        <v>1291.86</v>
      </c>
      <c r="K11" s="18">
        <v>1358.63</v>
      </c>
      <c r="L11" s="18">
        <v>2229.826</v>
      </c>
      <c r="M11" s="18">
        <v>1316.3</v>
      </c>
      <c r="N11" s="18">
        <v>1033.24</v>
      </c>
      <c r="O11" s="18">
        <v>1140.144</v>
      </c>
      <c r="P11" s="18">
        <v>309.1</v>
      </c>
      <c r="Q11" s="18">
        <v>1093.85</v>
      </c>
      <c r="R11" s="18">
        <v>820.97</v>
      </c>
      <c r="S11" s="18">
        <v>274.48</v>
      </c>
      <c r="T11" s="1">
        <f t="shared" si="0"/>
        <v>9576.54</v>
      </c>
      <c r="U11" s="1"/>
      <c r="V11" s="18">
        <v>2522.72</v>
      </c>
      <c r="W11" s="1"/>
      <c r="X11" s="18">
        <v>5134.04</v>
      </c>
      <c r="Y11" s="1"/>
      <c r="Z11" s="18">
        <v>612.3</v>
      </c>
      <c r="AA11" s="18">
        <v>1446.97</v>
      </c>
      <c r="AB11" s="1">
        <v>90.37</v>
      </c>
      <c r="AC11" s="1">
        <v>2405.44</v>
      </c>
      <c r="AD11" s="1"/>
      <c r="AE11" s="18">
        <v>1464.66</v>
      </c>
      <c r="AF11" s="18">
        <v>3036.88</v>
      </c>
      <c r="AG11" s="18">
        <v>1600.28</v>
      </c>
      <c r="AH11" s="18">
        <v>185.43</v>
      </c>
      <c r="AI11" s="18">
        <v>309.47</v>
      </c>
      <c r="AJ11" s="18">
        <v>71.29</v>
      </c>
      <c r="AK11" s="18">
        <v>1186.87</v>
      </c>
      <c r="AL11" s="18">
        <v>7271.02</v>
      </c>
      <c r="AM11" s="18">
        <v>79.9</v>
      </c>
      <c r="AN11" s="18">
        <v>11302.19</v>
      </c>
      <c r="AO11" s="18">
        <v>9198.65</v>
      </c>
      <c r="AP11" s="18">
        <v>7435.74</v>
      </c>
      <c r="AQ11" s="1"/>
      <c r="AR11" s="18">
        <v>7522.83</v>
      </c>
      <c r="AS11" s="18">
        <v>11276.92</v>
      </c>
      <c r="AT11" s="18">
        <v>5133.5</v>
      </c>
      <c r="AU11" s="18">
        <v>13638.89</v>
      </c>
      <c r="AV11" s="18">
        <v>4229.56</v>
      </c>
      <c r="AW11" s="18">
        <v>708.15</v>
      </c>
      <c r="AX11" s="18">
        <v>4252.12</v>
      </c>
      <c r="AY11" s="18">
        <f>V11+W11+X11+Y11+Z11+AA11+AB11+AC11+AD11+AE11+AF11+AG11+AH11+AI11+AJ11+AK11+AL11+AM11+AN11+AO11+AP11+AQ11+AR11+AS11+AT11+AU11+AV11+AW11+AX11</f>
        <v>102116.18999999999</v>
      </c>
      <c r="AZ11" s="1"/>
      <c r="BA11" s="18">
        <v>1305.19</v>
      </c>
      <c r="BB11" s="21">
        <f>BA11+AY11+T11+J11+I11+H11+F11+E11+D11</f>
        <v>122134.03299999998</v>
      </c>
      <c r="BC11" s="1"/>
    </row>
    <row r="12" spans="1:55" s="12" customFormat="1" ht="17.25" customHeight="1">
      <c r="A12" s="34"/>
      <c r="B12" s="42" t="s">
        <v>40</v>
      </c>
      <c r="C12" s="18"/>
      <c r="D12" s="1">
        <v>217.93</v>
      </c>
      <c r="E12" s="1">
        <v>222.324</v>
      </c>
      <c r="F12" s="1">
        <v>150.443</v>
      </c>
      <c r="G12" s="18"/>
      <c r="H12" s="1">
        <v>253.809</v>
      </c>
      <c r="I12" s="1">
        <v>161.041</v>
      </c>
      <c r="J12" s="1">
        <v>877.853</v>
      </c>
      <c r="K12" s="1">
        <v>1080.159</v>
      </c>
      <c r="L12" s="1">
        <v>1772.785</v>
      </c>
      <c r="M12" s="1">
        <v>1046.501</v>
      </c>
      <c r="N12" s="1">
        <v>821.458</v>
      </c>
      <c r="O12" s="1">
        <v>906.452</v>
      </c>
      <c r="P12" s="1">
        <v>245.743</v>
      </c>
      <c r="Q12" s="1">
        <v>869.643</v>
      </c>
      <c r="R12" s="1">
        <v>652.701</v>
      </c>
      <c r="S12" s="1">
        <v>218.217</v>
      </c>
      <c r="T12" s="1">
        <f t="shared" si="0"/>
        <v>7613.659</v>
      </c>
      <c r="U12" s="1"/>
      <c r="V12" s="1">
        <v>2078.52</v>
      </c>
      <c r="W12" s="1"/>
      <c r="X12" s="1">
        <v>4230.035</v>
      </c>
      <c r="Y12" s="1"/>
      <c r="Z12" s="1">
        <v>504.486</v>
      </c>
      <c r="AA12" s="1">
        <v>1192.185</v>
      </c>
      <c r="AB12" s="1">
        <v>74.457</v>
      </c>
      <c r="AC12" s="1">
        <v>1981.893</v>
      </c>
      <c r="AD12" s="1"/>
      <c r="AE12" s="1">
        <v>1206.762</v>
      </c>
      <c r="AF12" s="1">
        <v>2502.147</v>
      </c>
      <c r="AG12" s="1">
        <v>1318.502</v>
      </c>
      <c r="AH12" s="1">
        <v>152.779</v>
      </c>
      <c r="AI12" s="1">
        <v>254.976</v>
      </c>
      <c r="AJ12" s="1">
        <v>58.739</v>
      </c>
      <c r="AK12" s="1">
        <v>977.886</v>
      </c>
      <c r="AL12" s="1">
        <v>5990.738</v>
      </c>
      <c r="AM12" s="1">
        <v>65.832</v>
      </c>
      <c r="AN12" s="1">
        <v>9312.103</v>
      </c>
      <c r="AO12" s="1">
        <v>7578.95</v>
      </c>
      <c r="AP12" s="1">
        <v>6126.455</v>
      </c>
      <c r="AQ12" s="1"/>
      <c r="AR12" s="1">
        <v>6198.207</v>
      </c>
      <c r="AS12" s="1">
        <v>9291.281</v>
      </c>
      <c r="AT12" s="1">
        <v>4229.593</v>
      </c>
      <c r="AU12" s="1">
        <v>11237.351</v>
      </c>
      <c r="AV12" s="1">
        <v>3484.816</v>
      </c>
      <c r="AW12" s="1">
        <v>583.462</v>
      </c>
      <c r="AX12" s="1">
        <v>3503.403</v>
      </c>
      <c r="AY12" s="1">
        <f>V12+W12+X12+Y12+Z12+AA12+AB12+AC12+AD12+AE12+AF12+AG12+AH12+AI12+AJ12+AK12+AL12+AM12+AN12+AO12+AP12+AQ12+AR12+AS12+AT12+AU12+AV12+AW12+AX12</f>
        <v>84135.55800000002</v>
      </c>
      <c r="AZ12" s="1"/>
      <c r="BA12" s="1">
        <v>1094.87</v>
      </c>
      <c r="BB12" s="18">
        <f>BA12+AY12+T12+J12+I12+H12+G12+F12+E12+D12+C12</f>
        <v>94727.487</v>
      </c>
      <c r="BC12" s="1"/>
    </row>
    <row r="13" spans="1:55" s="12" customFormat="1" ht="20.25" customHeight="1">
      <c r="A13" s="34"/>
      <c r="B13" s="42" t="s">
        <v>41</v>
      </c>
      <c r="C13" s="18"/>
      <c r="D13" s="1">
        <v>7275.73</v>
      </c>
      <c r="E13" s="1">
        <v>13729.32</v>
      </c>
      <c r="F13" s="1">
        <v>1471.61</v>
      </c>
      <c r="G13" s="18"/>
      <c r="H13" s="1">
        <v>9329.04</v>
      </c>
      <c r="I13" s="1">
        <v>3832.03</v>
      </c>
      <c r="J13" s="1">
        <v>1471.61</v>
      </c>
      <c r="K13" s="1">
        <v>1257.81</v>
      </c>
      <c r="L13" s="1">
        <v>1257.81</v>
      </c>
      <c r="M13" s="1">
        <v>1257.81</v>
      </c>
      <c r="N13" s="1">
        <v>1257.81</v>
      </c>
      <c r="O13" s="1">
        <v>1257.81</v>
      </c>
      <c r="P13" s="1">
        <v>1257.81</v>
      </c>
      <c r="Q13" s="1">
        <v>1257.81</v>
      </c>
      <c r="R13" s="1">
        <v>1257.81</v>
      </c>
      <c r="S13" s="1">
        <v>1257.81</v>
      </c>
      <c r="T13" s="1">
        <v>1257.81</v>
      </c>
      <c r="U13" s="1"/>
      <c r="V13" s="1">
        <v>1213.71</v>
      </c>
      <c r="W13" s="1"/>
      <c r="X13" s="1">
        <v>1213.71</v>
      </c>
      <c r="Y13" s="1"/>
      <c r="Z13" s="1">
        <v>1213.71</v>
      </c>
      <c r="AA13" s="1">
        <v>1213.71</v>
      </c>
      <c r="AB13" s="1">
        <v>1213.71</v>
      </c>
      <c r="AC13" s="1">
        <v>1213.71</v>
      </c>
      <c r="AD13" s="1"/>
      <c r="AE13" s="1">
        <v>1213.71</v>
      </c>
      <c r="AF13" s="1">
        <v>1213.71</v>
      </c>
      <c r="AG13" s="1">
        <v>1213.71</v>
      </c>
      <c r="AH13" s="1">
        <v>1213.71</v>
      </c>
      <c r="AI13" s="1">
        <v>1213.71</v>
      </c>
      <c r="AJ13" s="1">
        <v>1213.71</v>
      </c>
      <c r="AK13" s="1">
        <v>1213.71</v>
      </c>
      <c r="AL13" s="1">
        <v>1213.71</v>
      </c>
      <c r="AM13" s="1">
        <v>1213.71</v>
      </c>
      <c r="AN13" s="1">
        <v>1213.71</v>
      </c>
      <c r="AO13" s="1">
        <v>1213.71</v>
      </c>
      <c r="AP13" s="1">
        <v>1213.71</v>
      </c>
      <c r="AQ13" s="1"/>
      <c r="AR13" s="1">
        <v>1213.71</v>
      </c>
      <c r="AS13" s="1">
        <v>1213.71</v>
      </c>
      <c r="AT13" s="1">
        <v>1213.71</v>
      </c>
      <c r="AU13" s="1">
        <v>1213.71</v>
      </c>
      <c r="AV13" s="1">
        <v>1213.71</v>
      </c>
      <c r="AW13" s="1">
        <v>1213.71</v>
      </c>
      <c r="AX13" s="1">
        <v>1213.71</v>
      </c>
      <c r="AY13" s="1">
        <v>1213.71</v>
      </c>
      <c r="AZ13" s="1"/>
      <c r="BA13" s="1">
        <v>1192.09</v>
      </c>
      <c r="BB13" s="21">
        <f>BB11/BB12*1000</f>
        <v>1289.3198887457027</v>
      </c>
      <c r="BC13" s="1"/>
    </row>
    <row r="14" spans="1:55" s="12" customFormat="1" ht="25.5" customHeight="1">
      <c r="A14" s="34" t="s">
        <v>134</v>
      </c>
      <c r="B14" s="36" t="s">
        <v>44</v>
      </c>
      <c r="C14" s="18"/>
      <c r="D14" s="18"/>
      <c r="E14" s="18"/>
      <c r="F14" s="18"/>
      <c r="G14" s="18"/>
      <c r="H14" s="18">
        <v>525.954</v>
      </c>
      <c r="I14" s="18">
        <v>652.087</v>
      </c>
      <c r="J14" s="18">
        <v>60.418</v>
      </c>
      <c r="K14" s="18">
        <v>991.164</v>
      </c>
      <c r="L14" s="18">
        <v>288.666</v>
      </c>
      <c r="M14" s="18">
        <v>1083.5</v>
      </c>
      <c r="N14" s="18">
        <v>568.949</v>
      </c>
      <c r="O14" s="1"/>
      <c r="P14" s="1"/>
      <c r="Q14" s="18">
        <v>6.67</v>
      </c>
      <c r="R14" s="18">
        <v>297.49</v>
      </c>
      <c r="S14" s="18">
        <v>3.5</v>
      </c>
      <c r="T14" s="1">
        <f t="shared" si="0"/>
        <v>3239.9390000000003</v>
      </c>
      <c r="U14" s="1"/>
      <c r="V14" s="18">
        <v>3098.32</v>
      </c>
      <c r="W14" s="18">
        <v>82.89</v>
      </c>
      <c r="X14" s="1"/>
      <c r="Y14" s="18">
        <v>563.68</v>
      </c>
      <c r="Z14" s="18">
        <v>49.1</v>
      </c>
      <c r="AA14" s="18">
        <v>1201.5</v>
      </c>
      <c r="AB14" s="18">
        <v>925.64</v>
      </c>
      <c r="AC14" s="18">
        <v>2627.02</v>
      </c>
      <c r="AD14" s="1"/>
      <c r="AE14" s="18">
        <v>1926.54</v>
      </c>
      <c r="AF14" s="18">
        <v>2349.23</v>
      </c>
      <c r="AG14" s="18">
        <v>1785.19</v>
      </c>
      <c r="AH14" s="18">
        <v>1657.1</v>
      </c>
      <c r="AI14" s="18">
        <v>421.24</v>
      </c>
      <c r="AJ14" s="18">
        <v>50.47</v>
      </c>
      <c r="AK14" s="18">
        <v>1180.05</v>
      </c>
      <c r="AL14" s="18">
        <v>3452.69</v>
      </c>
      <c r="AM14" s="1"/>
      <c r="AN14" s="18">
        <v>6360.31</v>
      </c>
      <c r="AO14" s="18">
        <v>6053.3</v>
      </c>
      <c r="AP14" s="18">
        <v>4672.71</v>
      </c>
      <c r="AQ14" s="18">
        <v>551.85</v>
      </c>
      <c r="AR14" s="18">
        <v>7244.37</v>
      </c>
      <c r="AS14" s="18">
        <v>3619.59</v>
      </c>
      <c r="AT14" s="18">
        <v>7163.03</v>
      </c>
      <c r="AU14" s="18">
        <v>7666.25</v>
      </c>
      <c r="AV14" s="18">
        <v>2987.69</v>
      </c>
      <c r="AW14" s="18">
        <v>222.63</v>
      </c>
      <c r="AX14" s="18">
        <v>253.78</v>
      </c>
      <c r="AY14" s="18">
        <f>V14+W14+X14+Y14+Z14+AA14+AB14+AC14+AD14+AE14+AF14+AG14+AH14+AI14+AJ14+AK14+AL14+AM14+AN14+AO14+AP14+AQ14+AR14+AS14+AT14+AU14+AV14+AW14+AX14</f>
        <v>68166.17000000001</v>
      </c>
      <c r="AZ14" s="1"/>
      <c r="BA14" s="18">
        <v>2453.53</v>
      </c>
      <c r="BB14" s="21">
        <f>BA14+AY14+T14+J14+I14+H14+G14+F14+E14+D14+C14</f>
        <v>75098.09800000001</v>
      </c>
      <c r="BC14" s="1"/>
    </row>
    <row r="15" spans="1:55" s="12" customFormat="1" ht="18.75" customHeight="1">
      <c r="A15" s="34"/>
      <c r="B15" s="42" t="s">
        <v>40</v>
      </c>
      <c r="C15" s="18"/>
      <c r="D15" s="18"/>
      <c r="E15" s="18"/>
      <c r="F15" s="18"/>
      <c r="G15" s="18"/>
      <c r="H15" s="1">
        <v>56.389</v>
      </c>
      <c r="I15" s="1">
        <v>170.371</v>
      </c>
      <c r="J15" s="1">
        <v>41.056</v>
      </c>
      <c r="K15" s="1">
        <v>788.01</v>
      </c>
      <c r="L15" s="1">
        <v>229.499</v>
      </c>
      <c r="M15" s="1">
        <v>561.414</v>
      </c>
      <c r="N15" s="1">
        <v>452.333</v>
      </c>
      <c r="O15" s="1"/>
      <c r="P15" s="1"/>
      <c r="Q15" s="1">
        <v>5.3</v>
      </c>
      <c r="R15" s="1">
        <v>236.515</v>
      </c>
      <c r="S15" s="1">
        <v>2.782</v>
      </c>
      <c r="T15" s="1">
        <f t="shared" si="0"/>
        <v>2275.853</v>
      </c>
      <c r="U15" s="1"/>
      <c r="V15" s="1">
        <v>2552.77</v>
      </c>
      <c r="W15" s="1">
        <v>68.296</v>
      </c>
      <c r="X15" s="1"/>
      <c r="Y15" s="1">
        <v>464.424</v>
      </c>
      <c r="Z15" s="1">
        <v>40.454</v>
      </c>
      <c r="AA15" s="1">
        <v>989.939</v>
      </c>
      <c r="AB15" s="1">
        <v>762.653</v>
      </c>
      <c r="AC15" s="1">
        <v>2164.454</v>
      </c>
      <c r="AD15" s="1"/>
      <c r="AE15" s="1">
        <v>1587.315</v>
      </c>
      <c r="AF15" s="1">
        <v>1935.575</v>
      </c>
      <c r="AG15" s="1">
        <v>1470.855</v>
      </c>
      <c r="AH15" s="1">
        <v>1365.319</v>
      </c>
      <c r="AI15" s="1">
        <v>347.068</v>
      </c>
      <c r="AJ15" s="1">
        <v>41.582</v>
      </c>
      <c r="AK15" s="1">
        <v>972.267</v>
      </c>
      <c r="AL15" s="1">
        <v>2844.741</v>
      </c>
      <c r="AM15" s="1"/>
      <c r="AN15" s="1">
        <v>5240.384</v>
      </c>
      <c r="AO15" s="1">
        <v>4987.433</v>
      </c>
      <c r="AP15" s="1">
        <v>3849.937</v>
      </c>
      <c r="AQ15" s="1">
        <v>454.682</v>
      </c>
      <c r="AR15" s="1">
        <v>5968.78</v>
      </c>
      <c r="AS15" s="1">
        <v>2982.251</v>
      </c>
      <c r="AT15" s="1">
        <v>5901.762</v>
      </c>
      <c r="AU15" s="1">
        <v>6316.38</v>
      </c>
      <c r="AV15" s="1">
        <v>2461.618</v>
      </c>
      <c r="AW15" s="1">
        <v>183.426</v>
      </c>
      <c r="AX15" s="1">
        <v>209.091</v>
      </c>
      <c r="AY15" s="1">
        <f>V15+W15+X15+Y15+Z15+AA15+AB15+AC15+AD15+AE15+AF15+AG15+AH15+AI15+AJ15+AK15+AL15+AM15+AN15+AO15+AP15+AQ15+AR15+AS15+AT15+AU15+AV15+AW15+AX15</f>
        <v>56163.456000000006</v>
      </c>
      <c r="AZ15" s="1"/>
      <c r="BA15" s="1">
        <v>2058.175</v>
      </c>
      <c r="BB15" s="18">
        <f>BA15+AY15+T15+J15+I15+H15+G15+F15+E15+D15+C15</f>
        <v>60765.30000000001</v>
      </c>
      <c r="BC15" s="1"/>
    </row>
    <row r="16" spans="1:55" s="12" customFormat="1" ht="15.75" customHeight="1">
      <c r="A16" s="34"/>
      <c r="B16" s="42" t="s">
        <v>41</v>
      </c>
      <c r="C16" s="18"/>
      <c r="D16" s="18"/>
      <c r="E16" s="18"/>
      <c r="F16" s="18"/>
      <c r="G16" s="18"/>
      <c r="H16" s="1" t="s">
        <v>115</v>
      </c>
      <c r="I16" s="1">
        <v>3832.03</v>
      </c>
      <c r="J16" s="1">
        <v>1471.61</v>
      </c>
      <c r="K16" s="1">
        <v>1257.81</v>
      </c>
      <c r="L16" s="1">
        <v>1257.81</v>
      </c>
      <c r="M16" s="1">
        <v>1257.81</v>
      </c>
      <c r="N16" s="1">
        <v>1257.81</v>
      </c>
      <c r="O16" s="1"/>
      <c r="P16" s="1"/>
      <c r="Q16" s="1">
        <v>1257.81</v>
      </c>
      <c r="R16" s="1">
        <v>1257.81</v>
      </c>
      <c r="S16" s="1">
        <v>1257.81</v>
      </c>
      <c r="T16" s="1">
        <v>1257.81</v>
      </c>
      <c r="U16" s="1"/>
      <c r="V16" s="1">
        <v>1213.71</v>
      </c>
      <c r="W16" s="1">
        <v>1213.71</v>
      </c>
      <c r="X16" s="1"/>
      <c r="Y16" s="1">
        <v>1213.71</v>
      </c>
      <c r="Z16" s="1">
        <v>1213.71</v>
      </c>
      <c r="AA16" s="1">
        <v>1213.71</v>
      </c>
      <c r="AB16" s="1">
        <v>1213.71</v>
      </c>
      <c r="AC16" s="1">
        <v>1213.71</v>
      </c>
      <c r="AD16" s="1"/>
      <c r="AE16" s="1">
        <v>1213.71</v>
      </c>
      <c r="AF16" s="1">
        <v>1213.71</v>
      </c>
      <c r="AG16" s="1">
        <v>1213.71</v>
      </c>
      <c r="AH16" s="1">
        <v>1213.71</v>
      </c>
      <c r="AI16" s="1">
        <v>1213.71</v>
      </c>
      <c r="AJ16" s="1">
        <v>1213.71</v>
      </c>
      <c r="AK16" s="1">
        <v>1213.71</v>
      </c>
      <c r="AL16" s="1">
        <v>1213.71</v>
      </c>
      <c r="AM16" s="1"/>
      <c r="AN16" s="1">
        <v>1213.71</v>
      </c>
      <c r="AO16" s="1">
        <v>1213.71</v>
      </c>
      <c r="AP16" s="1">
        <v>1213.71</v>
      </c>
      <c r="AQ16" s="1">
        <v>1213.71</v>
      </c>
      <c r="AR16" s="1">
        <v>1213.71</v>
      </c>
      <c r="AS16" s="1">
        <v>1213.71</v>
      </c>
      <c r="AT16" s="1">
        <v>1213.71</v>
      </c>
      <c r="AU16" s="1">
        <v>1213.71</v>
      </c>
      <c r="AV16" s="1">
        <v>1213.71</v>
      </c>
      <c r="AW16" s="1">
        <v>1213.71</v>
      </c>
      <c r="AX16" s="1">
        <v>1213.71</v>
      </c>
      <c r="AY16" s="1">
        <v>1213.71</v>
      </c>
      <c r="AZ16" s="1"/>
      <c r="BA16" s="1">
        <v>1192.09</v>
      </c>
      <c r="BB16" s="21">
        <f>BB14/BB15*1000</f>
        <v>1235.8714266201268</v>
      </c>
      <c r="BC16" s="1"/>
    </row>
    <row r="17" spans="1:55" s="12" customFormat="1" ht="15.75" customHeight="1">
      <c r="A17" s="45"/>
      <c r="B17" s="53" t="s">
        <v>100</v>
      </c>
      <c r="C17" s="57">
        <f>C18+C29+C32+C35+C38+C40+C41+C43+C44+C45+C46+C47+C48</f>
        <v>617.4057670999999</v>
      </c>
      <c r="D17" s="57">
        <f aca="true" t="shared" si="1" ref="D17:J17">D18+D22+D29+D32+D35+D38+D40+D41+D43+D44+D45+D46+D47+D48</f>
        <v>1343.2080053999998</v>
      </c>
      <c r="E17" s="57">
        <f t="shared" si="1"/>
        <v>2099.8656244000003</v>
      </c>
      <c r="F17" s="57">
        <f t="shared" si="1"/>
        <v>2599.8947999000006</v>
      </c>
      <c r="G17" s="57">
        <f t="shared" si="1"/>
        <v>357.40689549999996</v>
      </c>
      <c r="H17" s="57">
        <f t="shared" si="1"/>
        <v>2704.2191168</v>
      </c>
      <c r="I17" s="57">
        <f t="shared" si="1"/>
        <v>641.2679044</v>
      </c>
      <c r="J17" s="57">
        <f t="shared" si="1"/>
        <v>6111.6943274999985</v>
      </c>
      <c r="K17" s="58">
        <f aca="true" t="shared" si="2" ref="K17:S17">K18+K29+K32+K35+K38+K40+K41+K43+K44+K45+K46+K47+K48</f>
        <v>12080.637720800001</v>
      </c>
      <c r="L17" s="58">
        <f t="shared" si="2"/>
        <v>14729.0951215</v>
      </c>
      <c r="M17" s="58">
        <f t="shared" si="2"/>
        <v>16316.828485399998</v>
      </c>
      <c r="N17" s="58">
        <f t="shared" si="2"/>
        <v>12064.5701792</v>
      </c>
      <c r="O17" s="58">
        <f t="shared" si="2"/>
        <v>5356.506405000001</v>
      </c>
      <c r="P17" s="58">
        <f t="shared" si="2"/>
        <v>1114.7032250000002</v>
      </c>
      <c r="Q17" s="58">
        <f t="shared" si="2"/>
        <v>2053.0010070000003</v>
      </c>
      <c r="R17" s="58">
        <f t="shared" si="2"/>
        <v>5851.0373708</v>
      </c>
      <c r="S17" s="58">
        <f t="shared" si="2"/>
        <v>1759.2063500000002</v>
      </c>
      <c r="T17" s="58">
        <f>T18+T22+T29+T32+T35+T38+T40+T41+T43+T44+T45+T46+T47+T48</f>
        <v>71325.5969927</v>
      </c>
      <c r="U17" s="59"/>
      <c r="V17" s="58">
        <f>V18+V22+V29+V32+V35+V38+V40+V41+V43+V44+V45+V46+V47+V48</f>
        <v>37082.62162</v>
      </c>
      <c r="W17" s="58">
        <f aca="true" t="shared" si="3" ref="W17:AC17">W18+W29+W32+W35+W38+W40+W41+W43+W44+W45+W46+W47+W48</f>
        <v>4089.3587805000006</v>
      </c>
      <c r="X17" s="58">
        <f t="shared" si="3"/>
        <v>6876.992594</v>
      </c>
      <c r="Y17" s="58">
        <f t="shared" si="3"/>
        <v>3661.8561324999996</v>
      </c>
      <c r="Z17" s="58">
        <f t="shared" si="3"/>
        <v>4067.9492800000007</v>
      </c>
      <c r="AA17" s="58">
        <f t="shared" si="3"/>
        <v>13304.426403499998</v>
      </c>
      <c r="AB17" s="58">
        <f t="shared" si="3"/>
        <v>7643.716141999999</v>
      </c>
      <c r="AC17" s="58">
        <f t="shared" si="3"/>
        <v>14069.463157499998</v>
      </c>
      <c r="AD17" s="58">
        <f>AD29+AD32+AD35+AD38+AD40+AD41+AD43+AD44+AD45+AD46+AD47+AD48</f>
        <v>1104.375409</v>
      </c>
      <c r="AE17" s="58">
        <f aca="true" t="shared" si="4" ref="AE17:AQ17">AE18+AE29+AE32+AE35+AE38+AE40+AE41+AE43+AE44+AE45+AE46+AE47+AE48</f>
        <v>17666.412493500004</v>
      </c>
      <c r="AF17" s="58">
        <f t="shared" si="4"/>
        <v>10499.627341500001</v>
      </c>
      <c r="AG17" s="58">
        <f t="shared" si="4"/>
        <v>8973.3582735</v>
      </c>
      <c r="AH17" s="58">
        <f t="shared" si="4"/>
        <v>6836.942664499999</v>
      </c>
      <c r="AI17" s="58">
        <f t="shared" si="4"/>
        <v>3497.219314</v>
      </c>
      <c r="AJ17" s="58">
        <f t="shared" si="4"/>
        <v>4645.622355499999</v>
      </c>
      <c r="AK17" s="58">
        <f t="shared" si="4"/>
        <v>14686.7536895</v>
      </c>
      <c r="AL17" s="58">
        <f t="shared" si="4"/>
        <v>37555.0852255</v>
      </c>
      <c r="AM17" s="58">
        <f t="shared" si="4"/>
        <v>2734.986095</v>
      </c>
      <c r="AN17" s="58">
        <f t="shared" si="4"/>
        <v>32700.414275000003</v>
      </c>
      <c r="AO17" s="58">
        <f t="shared" si="4"/>
        <v>41618.5938405</v>
      </c>
      <c r="AP17" s="58">
        <f t="shared" si="4"/>
        <v>52599.1929245</v>
      </c>
      <c r="AQ17" s="58">
        <f t="shared" si="4"/>
        <v>1146.0009649999997</v>
      </c>
      <c r="AR17" s="58">
        <f>AR23+AR29+AR32+AR38+AR40+AR41+AR43+AR44+AR45+AR46+AR47+AR48</f>
        <v>133019.01056116</v>
      </c>
      <c r="AS17" s="58">
        <f>AS23+AS32+AS40+AS41+AS43+AS44+AS45+AS46+AS47+AS48</f>
        <v>78619.92827702</v>
      </c>
      <c r="AT17" s="58">
        <f>AT23+AT32+AT40+AT41+AT43+AT44+AT45+AT46+AT47+AT48</f>
        <v>79239.23065871999</v>
      </c>
      <c r="AU17" s="58">
        <f>AU23+AU32+AU40+AU41+AU43+AU44+AU45+AU46+AU47+AU48</f>
        <v>67050.78203206001</v>
      </c>
      <c r="AV17" s="58">
        <f>AV23+AV32+AV40+AV41+AV43+AV44+AV45+AV46+AV47+AV48</f>
        <v>18528.33303044</v>
      </c>
      <c r="AW17" s="58">
        <f>AW26+AW40+AW41+AW43+AW44+AW45+AW46+AW47+AW48</f>
        <v>13620.525018500002</v>
      </c>
      <c r="AX17" s="58">
        <f>AX23+AX32+AX40+AX41+AX43+AX44+AX45+AX46+AX47+AX48</f>
        <v>9445.239285740003</v>
      </c>
      <c r="AY17" s="57">
        <f>AY18+AY22+AY29+AY32+AY35+AY38+AY40+AY41+AY43+AY44+AY45+AY46+AY47+AY48</f>
        <v>726583.8831769</v>
      </c>
      <c r="AZ17" s="47">
        <v>726583.88</v>
      </c>
      <c r="BA17" s="57">
        <f>BA18+BA22+BA29+BA32+BA35+BA38+BA40+BA41+BA43+BA44+BA45+BA46+BA47+BA48</f>
        <v>17376.249403499995</v>
      </c>
      <c r="BB17" s="57">
        <f>BA17+AY17+T17+J17+I17+H17+G17+F17+E17+D17+C17</f>
        <v>831760.6920141</v>
      </c>
      <c r="BC17" s="47"/>
    </row>
    <row r="18" spans="1:57" ht="23.25" customHeight="1">
      <c r="A18" s="1">
        <v>2</v>
      </c>
      <c r="B18" s="18" t="s">
        <v>45</v>
      </c>
      <c r="C18" s="13">
        <f>C19</f>
        <v>183.37</v>
      </c>
      <c r="D18" s="2">
        <v>0</v>
      </c>
      <c r="E18" s="2">
        <v>0</v>
      </c>
      <c r="F18" s="13">
        <f>F19</f>
        <v>708.9</v>
      </c>
      <c r="G18" s="13">
        <f>G19</f>
        <v>72.29</v>
      </c>
      <c r="H18" s="2">
        <v>0</v>
      </c>
      <c r="I18" s="28">
        <f>I19</f>
        <v>144.39</v>
      </c>
      <c r="J18" s="13">
        <f>J19</f>
        <v>2670.82</v>
      </c>
      <c r="K18" s="2">
        <v>6675.93</v>
      </c>
      <c r="L18" s="2">
        <v>7925.73</v>
      </c>
      <c r="M18" s="2">
        <v>10074.97</v>
      </c>
      <c r="N18" s="2">
        <v>6729.47</v>
      </c>
      <c r="O18" s="2">
        <v>2080.468</v>
      </c>
      <c r="P18" s="2">
        <v>200.63</v>
      </c>
      <c r="Q18" s="2">
        <v>507.789</v>
      </c>
      <c r="R18" s="2">
        <v>2146.61</v>
      </c>
      <c r="S18" s="2">
        <v>516.083</v>
      </c>
      <c r="T18" s="13">
        <f>T19</f>
        <v>36857.68</v>
      </c>
      <c r="U18" s="2">
        <v>36857.68</v>
      </c>
      <c r="V18" s="2">
        <v>18474.536</v>
      </c>
      <c r="W18" s="2">
        <v>1885.429</v>
      </c>
      <c r="X18" s="2">
        <v>2574.842</v>
      </c>
      <c r="Y18" s="2">
        <v>1737.012</v>
      </c>
      <c r="Z18" s="2">
        <v>1897.527</v>
      </c>
      <c r="AA18" s="2">
        <v>6717.332</v>
      </c>
      <c r="AB18" s="2">
        <v>3012.55</v>
      </c>
      <c r="AC18" s="2">
        <v>5510.33</v>
      </c>
      <c r="AD18" s="2"/>
      <c r="AE18" s="2">
        <v>7421.38</v>
      </c>
      <c r="AF18" s="2">
        <v>4111.804</v>
      </c>
      <c r="AG18" s="2">
        <v>4668.82</v>
      </c>
      <c r="AH18" s="2">
        <v>3225.369</v>
      </c>
      <c r="AI18" s="2">
        <v>1837.446</v>
      </c>
      <c r="AJ18" s="2">
        <v>1844.029</v>
      </c>
      <c r="AK18" s="2">
        <v>7937.276</v>
      </c>
      <c r="AL18" s="2">
        <v>17842.047</v>
      </c>
      <c r="AM18" s="2">
        <v>91.127</v>
      </c>
      <c r="AN18" s="2">
        <v>17651.239</v>
      </c>
      <c r="AO18" s="2">
        <v>20023.424</v>
      </c>
      <c r="AP18" s="2">
        <v>27744.573</v>
      </c>
      <c r="AQ18" s="2">
        <v>185.492</v>
      </c>
      <c r="AR18" s="2"/>
      <c r="AS18" s="2"/>
      <c r="AT18" s="2"/>
      <c r="AU18" s="2"/>
      <c r="AV18" s="2"/>
      <c r="AW18" s="2"/>
      <c r="AX18" s="2"/>
      <c r="AY18" s="13">
        <f>AY19</f>
        <v>156393.45</v>
      </c>
      <c r="AZ18" s="2"/>
      <c r="BA18" s="13">
        <f>BA19</f>
        <v>7454.64</v>
      </c>
      <c r="BB18" s="13">
        <f>BB19</f>
        <v>204485.54000000004</v>
      </c>
      <c r="BC18" s="2"/>
      <c r="BE18" s="20"/>
    </row>
    <row r="19" spans="1:57" ht="15.75">
      <c r="A19" s="3"/>
      <c r="B19" s="4" t="s">
        <v>6</v>
      </c>
      <c r="C19" s="2">
        <v>183.37</v>
      </c>
      <c r="D19" s="2">
        <v>0</v>
      </c>
      <c r="E19" s="2">
        <v>0</v>
      </c>
      <c r="F19" s="13">
        <v>708.9</v>
      </c>
      <c r="G19" s="13">
        <v>72.29</v>
      </c>
      <c r="H19" s="2">
        <v>0</v>
      </c>
      <c r="I19" s="13">
        <v>144.39</v>
      </c>
      <c r="J19" s="13">
        <v>2670.82</v>
      </c>
      <c r="K19" s="2">
        <v>6675.93</v>
      </c>
      <c r="L19" s="2">
        <v>7925.73</v>
      </c>
      <c r="M19" s="2">
        <v>10074.97</v>
      </c>
      <c r="N19" s="2">
        <v>6729.47</v>
      </c>
      <c r="O19" s="2">
        <v>2080.468</v>
      </c>
      <c r="P19" s="2">
        <v>200.63</v>
      </c>
      <c r="Q19" s="2">
        <v>507.789</v>
      </c>
      <c r="R19" s="2">
        <v>2146.61</v>
      </c>
      <c r="S19" s="2">
        <v>516.083</v>
      </c>
      <c r="T19" s="13">
        <v>36857.68</v>
      </c>
      <c r="U19" s="2">
        <f>K19+L19+M19+N19+O19+P19+Q19+R19+S19</f>
        <v>36857.67999999999</v>
      </c>
      <c r="V19" s="2">
        <v>18474.536</v>
      </c>
      <c r="W19" s="2">
        <v>1885.429</v>
      </c>
      <c r="X19" s="2">
        <v>2574.842</v>
      </c>
      <c r="Y19" s="2">
        <v>1737.012</v>
      </c>
      <c r="Z19" s="2">
        <v>1897.527</v>
      </c>
      <c r="AA19" s="2">
        <v>6717.332</v>
      </c>
      <c r="AB19" s="2">
        <v>3012.547</v>
      </c>
      <c r="AC19" s="2">
        <v>5510.326</v>
      </c>
      <c r="AD19" s="2"/>
      <c r="AE19" s="2">
        <v>7421.38</v>
      </c>
      <c r="AF19" s="2">
        <v>4111.8</v>
      </c>
      <c r="AG19" s="2">
        <v>4668.82</v>
      </c>
      <c r="AH19" s="2">
        <v>3225.369</v>
      </c>
      <c r="AI19" s="2">
        <v>1837.446</v>
      </c>
      <c r="AJ19" s="2">
        <v>1844.029</v>
      </c>
      <c r="AK19" s="2">
        <v>7937.276</v>
      </c>
      <c r="AL19" s="2">
        <v>17842.047</v>
      </c>
      <c r="AM19" s="2">
        <v>91.127</v>
      </c>
      <c r="AN19" s="2">
        <v>17651.239</v>
      </c>
      <c r="AO19" s="2">
        <v>20023.304</v>
      </c>
      <c r="AP19" s="2">
        <v>27744.57</v>
      </c>
      <c r="AQ19" s="2">
        <v>185.492</v>
      </c>
      <c r="AR19" s="2"/>
      <c r="AS19" s="2"/>
      <c r="AT19" s="2"/>
      <c r="AU19" s="2"/>
      <c r="AV19" s="2"/>
      <c r="AW19" s="2"/>
      <c r="AX19" s="2"/>
      <c r="AY19" s="13">
        <v>156393.45</v>
      </c>
      <c r="AZ19" s="2">
        <f>V19+W19+X19+Y19+Z19+AA19+AB19+AC19+AE19+AF19+AG19+AH19+AI19+AJ19+AK19+AL19+AM19+AN19+AO19+AP19+AQ19</f>
        <v>156393.44999999998</v>
      </c>
      <c r="BA19" s="13">
        <v>7454.64</v>
      </c>
      <c r="BB19" s="13">
        <f>BA19+AY19+T19+J19+I19+H19+G19+F19+E19+D19+C19</f>
        <v>204485.54000000004</v>
      </c>
      <c r="BC19" s="2"/>
      <c r="BE19" s="20"/>
    </row>
    <row r="20" spans="1:57" ht="15.75">
      <c r="A20" s="44"/>
      <c r="B20" s="4" t="s">
        <v>96</v>
      </c>
      <c r="C20" s="2">
        <v>49.816</v>
      </c>
      <c r="D20" s="2"/>
      <c r="E20" s="2"/>
      <c r="F20" s="13">
        <v>193.656</v>
      </c>
      <c r="G20" s="13">
        <v>18.109</v>
      </c>
      <c r="H20" s="2"/>
      <c r="I20" s="13">
        <v>39.239</v>
      </c>
      <c r="J20" s="13">
        <v>729.923</v>
      </c>
      <c r="K20" s="2">
        <v>1838.313</v>
      </c>
      <c r="L20" s="2">
        <v>2182.31</v>
      </c>
      <c r="M20" s="2">
        <v>2773.62</v>
      </c>
      <c r="N20" s="2">
        <v>1852.98</v>
      </c>
      <c r="O20" s="2">
        <v>568.83</v>
      </c>
      <c r="P20" s="2">
        <v>54.519</v>
      </c>
      <c r="Q20" s="2">
        <v>138.748</v>
      </c>
      <c r="R20" s="2">
        <v>586.639</v>
      </c>
      <c r="S20" s="2">
        <v>140.262</v>
      </c>
      <c r="T20" s="13">
        <f>K20+L20+M20+N20+O20+P20+Q20+R20+S20</f>
        <v>10136.221</v>
      </c>
      <c r="U20" s="2">
        <v>10136.22</v>
      </c>
      <c r="V20" s="2">
        <v>5103.401</v>
      </c>
      <c r="W20" s="2">
        <v>515.277</v>
      </c>
      <c r="X20" s="2">
        <v>703.594</v>
      </c>
      <c r="Y20" s="2">
        <v>474.71</v>
      </c>
      <c r="Z20" s="2">
        <v>518.546</v>
      </c>
      <c r="AA20" s="2">
        <v>1855.693</v>
      </c>
      <c r="AB20" s="2">
        <v>823.323</v>
      </c>
      <c r="AC20" s="2">
        <v>1522.207</v>
      </c>
      <c r="AD20" s="2"/>
      <c r="AE20" s="2">
        <v>2050.079</v>
      </c>
      <c r="AF20" s="2">
        <v>1135.995</v>
      </c>
      <c r="AG20" s="2">
        <v>1289.873</v>
      </c>
      <c r="AH20" s="2">
        <v>890.77</v>
      </c>
      <c r="AI20" s="2">
        <v>502.202</v>
      </c>
      <c r="AJ20" s="2">
        <v>503.881</v>
      </c>
      <c r="AK20" s="2">
        <v>2192.712</v>
      </c>
      <c r="AL20" s="2">
        <v>4929.126</v>
      </c>
      <c r="AM20" s="2">
        <v>24.755</v>
      </c>
      <c r="AN20" s="2">
        <v>4876.539</v>
      </c>
      <c r="AO20" s="2">
        <v>5534.713</v>
      </c>
      <c r="AP20" s="2">
        <v>7655.355</v>
      </c>
      <c r="AQ20" s="2">
        <v>50.422</v>
      </c>
      <c r="AR20" s="2"/>
      <c r="AS20" s="2"/>
      <c r="AT20" s="2"/>
      <c r="AU20" s="2"/>
      <c r="AV20" s="2"/>
      <c r="AW20" s="2"/>
      <c r="AX20" s="2"/>
      <c r="AY20" s="13"/>
      <c r="AZ20" s="2"/>
      <c r="BA20" s="13">
        <v>2051.98</v>
      </c>
      <c r="BB20" s="13"/>
      <c r="BC20" s="2"/>
      <c r="BE20" s="20"/>
    </row>
    <row r="21" spans="1:57" ht="15.75">
      <c r="A21" s="44"/>
      <c r="B21" s="4" t="s">
        <v>97</v>
      </c>
      <c r="C21" s="2">
        <v>3680.94</v>
      </c>
      <c r="D21" s="2"/>
      <c r="E21" s="2"/>
      <c r="F21" s="13">
        <v>3660.62</v>
      </c>
      <c r="G21" s="13">
        <v>3991.87</v>
      </c>
      <c r="H21" s="2"/>
      <c r="I21" s="13">
        <v>3679.76</v>
      </c>
      <c r="J21" s="13">
        <v>3659.04</v>
      </c>
      <c r="K21" s="2">
        <v>3631.55</v>
      </c>
      <c r="L21" s="2">
        <v>3631.55</v>
      </c>
      <c r="M21" s="2">
        <v>3632.43</v>
      </c>
      <c r="N21" s="2">
        <v>3631.55</v>
      </c>
      <c r="O21" s="2">
        <v>3657.45</v>
      </c>
      <c r="P21" s="2">
        <v>3680.08</v>
      </c>
      <c r="Q21" s="2">
        <v>3659.79</v>
      </c>
      <c r="R21" s="2">
        <v>3659.79</v>
      </c>
      <c r="S21" s="2">
        <v>3679.76</v>
      </c>
      <c r="T21" s="13">
        <v>3636.24</v>
      </c>
      <c r="U21" s="2">
        <f>U19/U20*1000</f>
        <v>3636.2352040504247</v>
      </c>
      <c r="V21" s="2">
        <v>3620.04</v>
      </c>
      <c r="W21" s="2">
        <v>3659.1</v>
      </c>
      <c r="X21" s="2">
        <v>3659.1</v>
      </c>
      <c r="Y21" s="2">
        <v>3659.1</v>
      </c>
      <c r="Z21" s="2">
        <v>3659.1</v>
      </c>
      <c r="AA21" s="2">
        <v>3619.85</v>
      </c>
      <c r="AB21" s="2">
        <v>3659.1</v>
      </c>
      <c r="AC21" s="2">
        <v>3619.85</v>
      </c>
      <c r="AD21" s="2"/>
      <c r="AE21" s="2">
        <v>3620.046</v>
      </c>
      <c r="AF21" s="2">
        <v>3619.85</v>
      </c>
      <c r="AG21" s="2">
        <v>3619.85</v>
      </c>
      <c r="AH21" s="2">
        <v>3620.05</v>
      </c>
      <c r="AI21" s="2">
        <v>3658.78</v>
      </c>
      <c r="AJ21" s="2">
        <v>3659.65</v>
      </c>
      <c r="AK21" s="2">
        <v>3619.85</v>
      </c>
      <c r="AL21" s="2">
        <v>3619.85</v>
      </c>
      <c r="AM21" s="2">
        <v>3681.16</v>
      </c>
      <c r="AN21" s="2">
        <v>3619.85</v>
      </c>
      <c r="AO21" s="2">
        <v>3617.789</v>
      </c>
      <c r="AP21" s="2">
        <v>3624.21</v>
      </c>
      <c r="AQ21" s="2">
        <v>3678.875</v>
      </c>
      <c r="AR21" s="2"/>
      <c r="AS21" s="2"/>
      <c r="AT21" s="2"/>
      <c r="AU21" s="2"/>
      <c r="AV21" s="2"/>
      <c r="AW21" s="2"/>
      <c r="AX21" s="2"/>
      <c r="AY21" s="13"/>
      <c r="AZ21" s="2"/>
      <c r="BA21" s="13">
        <v>3632.9</v>
      </c>
      <c r="BB21" s="13"/>
      <c r="BC21" s="2"/>
      <c r="BE21" s="20"/>
    </row>
    <row r="22" spans="1:57" s="6" customFormat="1" ht="16.5" customHeight="1">
      <c r="A22" s="5">
        <v>3</v>
      </c>
      <c r="B22" s="18" t="s">
        <v>7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/>
      <c r="L22" s="2"/>
      <c r="M22" s="2"/>
      <c r="N22" s="2"/>
      <c r="O22" s="2"/>
      <c r="P22" s="2"/>
      <c r="Q22" s="2"/>
      <c r="R22" s="2"/>
      <c r="S22" s="2"/>
      <c r="T22" s="2">
        <v>0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13">
        <f>AY23+AY26</f>
        <v>302270.08999999997</v>
      </c>
      <c r="AZ22" s="2">
        <f>AZ23+AZ26</f>
        <v>302270.09384324</v>
      </c>
      <c r="BA22" s="2">
        <v>0</v>
      </c>
      <c r="BB22" s="13">
        <f>BB23+BB26</f>
        <v>302270.08999999997</v>
      </c>
      <c r="BC22" s="2"/>
      <c r="BE22" s="20"/>
    </row>
    <row r="23" spans="1:57" ht="15.75">
      <c r="A23" s="5"/>
      <c r="B23" s="4" t="s">
        <v>8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/>
      <c r="L23" s="2"/>
      <c r="M23" s="2"/>
      <c r="N23" s="2"/>
      <c r="O23" s="2"/>
      <c r="P23" s="2"/>
      <c r="Q23" s="2"/>
      <c r="R23" s="2"/>
      <c r="S23" s="2"/>
      <c r="T23" s="2">
        <v>0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>
        <f>AR24*AR25</f>
        <v>95999.62912056</v>
      </c>
      <c r="AS23" s="2">
        <f>AS24*AS25</f>
        <v>59204.53801152</v>
      </c>
      <c r="AT23" s="2">
        <f>AT24*AT25</f>
        <v>59473.40520672</v>
      </c>
      <c r="AU23" s="2">
        <f>AU24*AU25</f>
        <v>52416.50862156</v>
      </c>
      <c r="AV23" s="2">
        <f>AV24*AV25</f>
        <v>14890.55940744</v>
      </c>
      <c r="AW23" s="2"/>
      <c r="AX23" s="2">
        <f>AX24*AX25</f>
        <v>8172.783475440001</v>
      </c>
      <c r="AY23" s="13">
        <v>290157.42</v>
      </c>
      <c r="AZ23" s="2">
        <f>AR23+AS23+AT23+AU23+AV23+AX23</f>
        <v>290157.42384324</v>
      </c>
      <c r="BA23" s="2">
        <v>0</v>
      </c>
      <c r="BB23" s="13">
        <f>AY23</f>
        <v>290157.42</v>
      </c>
      <c r="BC23" s="2"/>
      <c r="BE23" s="20"/>
    </row>
    <row r="24" spans="1:57" ht="15.75">
      <c r="A24" s="5"/>
      <c r="B24" s="4" t="s">
        <v>98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>
        <v>125.411022</v>
      </c>
      <c r="AS24" s="2">
        <v>77.343024</v>
      </c>
      <c r="AT24" s="2">
        <v>77.694264</v>
      </c>
      <c r="AU24" s="2">
        <v>68.475347</v>
      </c>
      <c r="AV24" s="2">
        <v>19.452578</v>
      </c>
      <c r="AW24" s="2"/>
      <c r="AX24" s="2">
        <v>10.676678</v>
      </c>
      <c r="AY24" s="13">
        <f>AR24+AS24+AT24+AU24+AV24+AX24</f>
        <v>379.052913</v>
      </c>
      <c r="AZ24" s="2">
        <f>AY23-AZ23</f>
        <v>-0.003843240032438189</v>
      </c>
      <c r="BA24" s="2"/>
      <c r="BB24" s="13"/>
      <c r="BC24" s="2"/>
      <c r="BE24" s="20"/>
    </row>
    <row r="25" spans="1:57" ht="15.75">
      <c r="A25" s="5"/>
      <c r="B25" s="4" t="s">
        <v>97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>
        <v>765.48</v>
      </c>
      <c r="AS25" s="2">
        <v>765.48</v>
      </c>
      <c r="AT25" s="2">
        <v>765.48</v>
      </c>
      <c r="AU25" s="2">
        <v>765.48</v>
      </c>
      <c r="AV25" s="2">
        <v>765.48</v>
      </c>
      <c r="AW25" s="2"/>
      <c r="AX25" s="2">
        <v>765.48</v>
      </c>
      <c r="AY25" s="13">
        <f>AY23/AY24</f>
        <v>765.4799898609406</v>
      </c>
      <c r="AZ25" s="2"/>
      <c r="BA25" s="2"/>
      <c r="BB25" s="13"/>
      <c r="BC25" s="2"/>
      <c r="BE25" s="20"/>
    </row>
    <row r="26" spans="1:57" ht="15.75">
      <c r="A26" s="5"/>
      <c r="B26" s="4" t="s">
        <v>9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/>
      <c r="L26" s="2"/>
      <c r="M26" s="2"/>
      <c r="N26" s="2"/>
      <c r="O26" s="2"/>
      <c r="P26" s="2"/>
      <c r="Q26" s="2"/>
      <c r="R26" s="2"/>
      <c r="S26" s="2"/>
      <c r="T26" s="2">
        <v>0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>
        <v>12112.67</v>
      </c>
      <c r="AX26" s="2"/>
      <c r="AY26" s="13">
        <v>12112.67</v>
      </c>
      <c r="AZ26" s="2">
        <v>12112.67</v>
      </c>
      <c r="BA26" s="2">
        <v>0</v>
      </c>
      <c r="BB26" s="13">
        <f>AY26</f>
        <v>12112.67</v>
      </c>
      <c r="BC26" s="2"/>
      <c r="BE26" s="20"/>
    </row>
    <row r="27" spans="1:57" ht="15.75">
      <c r="A27" s="5"/>
      <c r="B27" s="4" t="s">
        <v>99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>
        <v>14.31684</v>
      </c>
      <c r="AX27" s="2"/>
      <c r="AY27" s="13">
        <v>14.32</v>
      </c>
      <c r="AZ27" s="2"/>
      <c r="BA27" s="2"/>
      <c r="BB27" s="13"/>
      <c r="BC27" s="2"/>
      <c r="BE27" s="20"/>
    </row>
    <row r="28" spans="1:57" ht="15.75">
      <c r="A28" s="5"/>
      <c r="B28" s="4" t="s">
        <v>97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>
        <f>AW26/AW27</f>
        <v>846.0435403343197</v>
      </c>
      <c r="AX28" s="2"/>
      <c r="AY28" s="13">
        <v>846.04</v>
      </c>
      <c r="AZ28" s="2"/>
      <c r="BA28" s="2"/>
      <c r="BB28" s="13"/>
      <c r="BC28" s="2"/>
      <c r="BE28" s="20"/>
    </row>
    <row r="29" spans="1:57" ht="15.75">
      <c r="A29" s="1">
        <v>4</v>
      </c>
      <c r="B29" s="18" t="s">
        <v>108</v>
      </c>
      <c r="C29" s="13">
        <v>47.03</v>
      </c>
      <c r="D29" s="13">
        <v>1011.31</v>
      </c>
      <c r="E29" s="13">
        <v>1446.15</v>
      </c>
      <c r="F29" s="13">
        <v>420.42</v>
      </c>
      <c r="G29" s="13">
        <v>72.29</v>
      </c>
      <c r="H29" s="13">
        <v>2240.69</v>
      </c>
      <c r="I29" s="13">
        <v>172.54</v>
      </c>
      <c r="J29" s="13">
        <v>665.76</v>
      </c>
      <c r="K29" s="2">
        <v>1746.95</v>
      </c>
      <c r="L29" s="2">
        <v>2092.43</v>
      </c>
      <c r="M29" s="2">
        <v>1730.648</v>
      </c>
      <c r="N29" s="2">
        <v>1612.056</v>
      </c>
      <c r="O29" s="2">
        <v>1318.72</v>
      </c>
      <c r="P29" s="2"/>
      <c r="Q29" s="2">
        <v>140.351</v>
      </c>
      <c r="R29" s="2">
        <v>743.901</v>
      </c>
      <c r="S29" s="2">
        <v>145.3</v>
      </c>
      <c r="T29" s="13">
        <v>9530.36</v>
      </c>
      <c r="U29" s="2">
        <f>K29+L29+M29+N29+O29+P29+Q29+R29+S29</f>
        <v>9530.356</v>
      </c>
      <c r="V29" s="2">
        <v>6256.33</v>
      </c>
      <c r="W29" s="2">
        <v>658.128</v>
      </c>
      <c r="X29" s="2">
        <v>883.129</v>
      </c>
      <c r="Y29" s="2">
        <v>628.553</v>
      </c>
      <c r="Z29" s="2">
        <v>471.778</v>
      </c>
      <c r="AA29" s="2">
        <v>1735.594</v>
      </c>
      <c r="AB29" s="2">
        <v>840.966</v>
      </c>
      <c r="AC29" s="2">
        <v>2497.894</v>
      </c>
      <c r="AD29" s="2">
        <v>913.363</v>
      </c>
      <c r="AE29" s="2">
        <v>2530.378</v>
      </c>
      <c r="AF29" s="2">
        <v>1955.329</v>
      </c>
      <c r="AG29" s="2">
        <v>1372.062</v>
      </c>
      <c r="AH29" s="2">
        <v>611.917</v>
      </c>
      <c r="AI29" s="2">
        <v>246.293</v>
      </c>
      <c r="AJ29" s="2">
        <v>475.883</v>
      </c>
      <c r="AK29" s="2">
        <v>1973.204</v>
      </c>
      <c r="AL29" s="2">
        <v>3917.516</v>
      </c>
      <c r="AM29" s="2">
        <v>56.005</v>
      </c>
      <c r="AN29" s="2">
        <v>3905.562</v>
      </c>
      <c r="AO29" s="2">
        <v>6906.466</v>
      </c>
      <c r="AP29" s="2">
        <v>7298.284</v>
      </c>
      <c r="AQ29" s="2">
        <v>37.582</v>
      </c>
      <c r="AR29" s="2">
        <v>365</v>
      </c>
      <c r="AS29" s="2"/>
      <c r="AT29" s="2"/>
      <c r="AU29" s="2"/>
      <c r="AV29" s="2"/>
      <c r="AW29" s="2"/>
      <c r="AX29" s="2"/>
      <c r="AY29" s="13">
        <v>46537.22</v>
      </c>
      <c r="AZ29" s="2">
        <f>V29+W29+X29+Y29+Z29+AA29+AB29+AC29+AD29+AE29+AF29+AG29+AH29+AI29+AJ29+AK29+AL29+AM29+AN29+AO29+AP29+AQ29+AR29+AS29+AT29+AU29+AV29+AW29+AX29</f>
        <v>46537.21600000001</v>
      </c>
      <c r="BA29" s="13">
        <v>3986.25</v>
      </c>
      <c r="BB29" s="13">
        <f>BA29+AY29+T29+J29+I29+H29+G29+F29+E29+D29+C29</f>
        <v>66130.02</v>
      </c>
      <c r="BC29" s="2">
        <f>BA29+AZ29+T29+J29+I29+H29+G29+F29+E29+D29+C29</f>
        <v>66130.01600000002</v>
      </c>
      <c r="BE29" s="20"/>
    </row>
    <row r="30" spans="1:57" ht="15.75">
      <c r="A30" s="1"/>
      <c r="B30" s="1" t="s">
        <v>109</v>
      </c>
      <c r="C30" s="13">
        <v>10.475</v>
      </c>
      <c r="D30" s="13">
        <v>291.4</v>
      </c>
      <c r="E30" s="13">
        <v>320.8</v>
      </c>
      <c r="F30" s="13">
        <v>121.73</v>
      </c>
      <c r="G30" s="13">
        <v>15.728</v>
      </c>
      <c r="H30" s="13">
        <v>494.32</v>
      </c>
      <c r="I30" s="13">
        <v>38.483</v>
      </c>
      <c r="J30" s="13">
        <v>171.369</v>
      </c>
      <c r="K30" s="2">
        <v>380.4</v>
      </c>
      <c r="L30" s="2">
        <v>456.42</v>
      </c>
      <c r="M30" s="2">
        <v>377.233</v>
      </c>
      <c r="N30" s="2">
        <v>352</v>
      </c>
      <c r="O30" s="2">
        <v>374.744</v>
      </c>
      <c r="P30" s="2"/>
      <c r="Q30" s="2">
        <v>41.136</v>
      </c>
      <c r="R30" s="2">
        <v>165.66</v>
      </c>
      <c r="S30" s="2">
        <v>32.352</v>
      </c>
      <c r="T30" s="13">
        <f>K30+L30+M30+N30+O30+P30+Q30+R30+S30</f>
        <v>2179.9449999999997</v>
      </c>
      <c r="U30" s="2"/>
      <c r="V30" s="2">
        <v>1683.822</v>
      </c>
      <c r="W30" s="2">
        <v>143.48</v>
      </c>
      <c r="X30" s="2">
        <v>194.13</v>
      </c>
      <c r="Y30" s="2">
        <v>137.14</v>
      </c>
      <c r="Z30" s="2">
        <v>102.565</v>
      </c>
      <c r="AA30" s="2">
        <v>378.6</v>
      </c>
      <c r="AB30" s="2">
        <v>182.679</v>
      </c>
      <c r="AC30" s="2">
        <v>545.76</v>
      </c>
      <c r="AD30" s="2">
        <v>195.9</v>
      </c>
      <c r="AE30" s="2">
        <v>551.8</v>
      </c>
      <c r="AF30" s="2">
        <v>426.24</v>
      </c>
      <c r="AG30" s="2">
        <v>298.36</v>
      </c>
      <c r="AH30" s="2">
        <v>134.46</v>
      </c>
      <c r="AI30" s="2">
        <v>53.94</v>
      </c>
      <c r="AJ30" s="2">
        <v>104.8</v>
      </c>
      <c r="AK30" s="2">
        <v>429.739</v>
      </c>
      <c r="AL30" s="2">
        <v>1049.04</v>
      </c>
      <c r="AM30" s="2">
        <v>15.198</v>
      </c>
      <c r="AN30" s="2">
        <v>1049.256</v>
      </c>
      <c r="AO30" s="2">
        <v>1792.68</v>
      </c>
      <c r="AP30" s="2">
        <v>1955.997</v>
      </c>
      <c r="AQ30" s="2">
        <v>10.14</v>
      </c>
      <c r="AR30" s="2">
        <v>78.85</v>
      </c>
      <c r="AS30" s="2"/>
      <c r="AT30" s="2"/>
      <c r="AU30" s="2"/>
      <c r="AV30" s="2"/>
      <c r="AW30" s="2"/>
      <c r="AX30" s="2"/>
      <c r="AY30" s="13">
        <f>V30+W30+X30+Y30+Z30+AA30+AB30+AC30+AD30+AE30+AF30+AG30+AH30+AI30+AJ30+AK30+AL30+AM30+AN30+AO30+AP30+AQ30+AR30</f>
        <v>11514.575999999997</v>
      </c>
      <c r="AZ30" s="2"/>
      <c r="BA30" s="13">
        <v>1135.948</v>
      </c>
      <c r="BB30" s="13"/>
      <c r="BC30" s="2"/>
      <c r="BE30" s="20"/>
    </row>
    <row r="31" spans="1:57" ht="15.75">
      <c r="A31" s="1"/>
      <c r="B31" s="1" t="s">
        <v>97</v>
      </c>
      <c r="C31" s="48">
        <v>4.4892594</v>
      </c>
      <c r="D31" s="48">
        <v>3.4705151</v>
      </c>
      <c r="E31" s="48">
        <v>4.50796057</v>
      </c>
      <c r="F31" s="48">
        <v>3.45366439</v>
      </c>
      <c r="G31" s="48">
        <v>4.59617726</v>
      </c>
      <c r="H31" s="48">
        <f>H29/H30</f>
        <v>4.53287344230458</v>
      </c>
      <c r="I31" s="48">
        <v>4.4835062</v>
      </c>
      <c r="J31" s="48">
        <f aca="true" t="shared" si="5" ref="J31:O31">J29/J30</f>
        <v>3.884950020131996</v>
      </c>
      <c r="K31" s="49">
        <f t="shared" si="5"/>
        <v>4.592402733964248</v>
      </c>
      <c r="L31" s="49">
        <f t="shared" si="5"/>
        <v>4.584439770386924</v>
      </c>
      <c r="M31" s="49">
        <f t="shared" si="5"/>
        <v>4.587742853886059</v>
      </c>
      <c r="N31" s="49">
        <f t="shared" si="5"/>
        <v>4.579704545454546</v>
      </c>
      <c r="O31" s="49">
        <f t="shared" si="5"/>
        <v>3.518988963132165</v>
      </c>
      <c r="P31" s="2"/>
      <c r="Q31" s="49">
        <f>Q29/Q30</f>
        <v>3.411877674056787</v>
      </c>
      <c r="R31" s="49">
        <f>R29/R30</f>
        <v>4.490528793915248</v>
      </c>
      <c r="S31" s="49">
        <f>S29/S30</f>
        <v>4.491221562809101</v>
      </c>
      <c r="T31" s="48">
        <f>T29/T30</f>
        <v>4.371835069233399</v>
      </c>
      <c r="U31" s="2"/>
      <c r="V31" s="49">
        <f aca="true" t="shared" si="6" ref="V31:AR31">V29/V30</f>
        <v>3.7155530691486396</v>
      </c>
      <c r="W31" s="49">
        <f t="shared" si="6"/>
        <v>4.586897128519655</v>
      </c>
      <c r="X31" s="49">
        <f t="shared" si="6"/>
        <v>4.549162932055839</v>
      </c>
      <c r="Y31" s="49">
        <f t="shared" si="6"/>
        <v>4.583294443634243</v>
      </c>
      <c r="Z31" s="49">
        <f t="shared" si="6"/>
        <v>4.599795251791547</v>
      </c>
      <c r="AA31" s="49">
        <f t="shared" si="6"/>
        <v>4.584241944004226</v>
      </c>
      <c r="AB31" s="49">
        <f t="shared" si="6"/>
        <v>4.603517645706403</v>
      </c>
      <c r="AC31" s="49">
        <f t="shared" si="6"/>
        <v>4.576909264145412</v>
      </c>
      <c r="AD31" s="49">
        <f t="shared" si="6"/>
        <v>4.662394078611537</v>
      </c>
      <c r="AE31" s="49">
        <f t="shared" si="6"/>
        <v>4.585679594055818</v>
      </c>
      <c r="AF31" s="49">
        <f t="shared" si="6"/>
        <v>4.587389733483484</v>
      </c>
      <c r="AG31" s="49">
        <f t="shared" si="6"/>
        <v>4.598679447647137</v>
      </c>
      <c r="AH31" s="49">
        <f t="shared" si="6"/>
        <v>4.55092220734791</v>
      </c>
      <c r="AI31" s="49">
        <f t="shared" si="6"/>
        <v>4.566054875787913</v>
      </c>
      <c r="AJ31" s="49">
        <f t="shared" si="6"/>
        <v>4.540868320610687</v>
      </c>
      <c r="AK31" s="49">
        <f t="shared" si="6"/>
        <v>4.591633526396254</v>
      </c>
      <c r="AL31" s="49">
        <f t="shared" si="6"/>
        <v>3.7343819110806074</v>
      </c>
      <c r="AM31" s="49">
        <f t="shared" si="6"/>
        <v>3.685024345308593</v>
      </c>
      <c r="AN31" s="49">
        <f t="shared" si="6"/>
        <v>3.7222203161097003</v>
      </c>
      <c r="AO31" s="49">
        <f t="shared" si="6"/>
        <v>3.8525927661378496</v>
      </c>
      <c r="AP31" s="49">
        <f t="shared" si="6"/>
        <v>3.7312347616075074</v>
      </c>
      <c r="AQ31" s="49">
        <f t="shared" si="6"/>
        <v>3.7063116370808675</v>
      </c>
      <c r="AR31" s="49">
        <f t="shared" si="6"/>
        <v>4.629042485732404</v>
      </c>
      <c r="AS31" s="2"/>
      <c r="AT31" s="2"/>
      <c r="AU31" s="2"/>
      <c r="AV31" s="2"/>
      <c r="AW31" s="2"/>
      <c r="AX31" s="2"/>
      <c r="AY31" s="48">
        <f>AY29/AY30</f>
        <v>4.041592152416208</v>
      </c>
      <c r="AZ31" s="2"/>
      <c r="BA31" s="48">
        <f>BA29/BA30</f>
        <v>3.509183518963896</v>
      </c>
      <c r="BB31" s="13"/>
      <c r="BC31" s="2"/>
      <c r="BE31" s="20"/>
    </row>
    <row r="32" spans="1:57" ht="31.5" customHeight="1">
      <c r="A32" s="1">
        <v>5</v>
      </c>
      <c r="B32" s="18" t="s">
        <v>110</v>
      </c>
      <c r="C32" s="13">
        <v>0</v>
      </c>
      <c r="D32" s="13">
        <v>0</v>
      </c>
      <c r="E32" s="13">
        <v>0</v>
      </c>
      <c r="F32" s="13">
        <v>14.28</v>
      </c>
      <c r="G32" s="13">
        <v>0</v>
      </c>
      <c r="H32" s="13">
        <v>0</v>
      </c>
      <c r="I32" s="13">
        <v>0</v>
      </c>
      <c r="J32" s="13">
        <v>112.06</v>
      </c>
      <c r="K32" s="2">
        <v>474.79</v>
      </c>
      <c r="L32" s="2">
        <v>577.364</v>
      </c>
      <c r="M32" s="2">
        <v>629.093</v>
      </c>
      <c r="N32" s="2">
        <v>261.743</v>
      </c>
      <c r="O32" s="2">
        <v>53.657</v>
      </c>
      <c r="P32" s="2">
        <v>0</v>
      </c>
      <c r="Q32" s="2">
        <v>39.105</v>
      </c>
      <c r="R32" s="2">
        <v>271.333</v>
      </c>
      <c r="S32" s="2">
        <v>4.051</v>
      </c>
      <c r="T32" s="13">
        <v>2311.14</v>
      </c>
      <c r="U32" s="2">
        <f>K32+L32+M32+N32+O32+P32+Q32+R32+S32</f>
        <v>2311.1359999999995</v>
      </c>
      <c r="V32" s="2">
        <v>2853.696</v>
      </c>
      <c r="W32" s="2">
        <v>72.822</v>
      </c>
      <c r="X32" s="2">
        <v>228.665</v>
      </c>
      <c r="Y32" s="2">
        <v>80.906</v>
      </c>
      <c r="Z32" s="2">
        <v>75.607</v>
      </c>
      <c r="AA32" s="2">
        <v>441.646</v>
      </c>
      <c r="AB32" s="2">
        <v>161.978</v>
      </c>
      <c r="AC32" s="2">
        <v>407.044</v>
      </c>
      <c r="AD32" s="2">
        <v>0.083</v>
      </c>
      <c r="AE32" s="2">
        <v>958.34</v>
      </c>
      <c r="AF32" s="2">
        <v>239.621</v>
      </c>
      <c r="AG32" s="2">
        <v>210.266</v>
      </c>
      <c r="AH32" s="2">
        <v>556.2489</v>
      </c>
      <c r="AI32" s="2">
        <v>5.484</v>
      </c>
      <c r="AJ32" s="2">
        <v>82.076</v>
      </c>
      <c r="AK32" s="2">
        <v>281.165</v>
      </c>
      <c r="AL32" s="2">
        <v>1451.679</v>
      </c>
      <c r="AM32" s="2">
        <v>19.292</v>
      </c>
      <c r="AN32" s="2">
        <v>1460.4159</v>
      </c>
      <c r="AO32" s="2">
        <v>3945.94</v>
      </c>
      <c r="AP32" s="2">
        <v>2347.506</v>
      </c>
      <c r="AQ32" s="2">
        <v>4.0773</v>
      </c>
      <c r="AR32" s="2">
        <v>15917.48576</v>
      </c>
      <c r="AS32" s="2">
        <v>2128.61504</v>
      </c>
      <c r="AT32" s="2">
        <v>4304.90816</v>
      </c>
      <c r="AU32" s="2">
        <v>243.7696</v>
      </c>
      <c r="AV32" s="2">
        <v>801.59264</v>
      </c>
      <c r="AW32" s="2"/>
      <c r="AX32" s="2">
        <v>104.05472</v>
      </c>
      <c r="AY32" s="13">
        <v>39384.98</v>
      </c>
      <c r="AZ32" s="2">
        <f>AX32+AV32+AU32+AT32+AS32+AR32+AQ32+AP32+AO32+AN32+AM32+AL32+AK32+AJ32+AI32+AH32+AG32+AF32+AE32+AD32+AC32+AB32+AA32+Z32+Y32+X32+W32+V32</f>
        <v>39384.98402</v>
      </c>
      <c r="BA32" s="13">
        <v>1261.05</v>
      </c>
      <c r="BB32" s="13">
        <f>BA32+AY32+T32+J32+I32+H32+G32+F32+E32+D32+C32</f>
        <v>43083.51</v>
      </c>
      <c r="BC32" s="2">
        <f>F32+J32+U32+U35+AZ32+AZ35+BA32</f>
        <v>48804.61682000001</v>
      </c>
      <c r="BE32" s="20"/>
    </row>
    <row r="33" spans="1:57" ht="24" customHeight="1">
      <c r="A33" s="1"/>
      <c r="B33" s="4" t="s">
        <v>111</v>
      </c>
      <c r="C33" s="13"/>
      <c r="D33" s="13"/>
      <c r="E33" s="13"/>
      <c r="F33" s="2">
        <v>0.74</v>
      </c>
      <c r="G33" s="13"/>
      <c r="H33" s="13"/>
      <c r="I33" s="13"/>
      <c r="J33" s="2">
        <v>5.806</v>
      </c>
      <c r="K33" s="2">
        <v>30.05</v>
      </c>
      <c r="L33" s="2">
        <v>36.542</v>
      </c>
      <c r="M33" s="2">
        <v>39.816</v>
      </c>
      <c r="N33" s="2">
        <v>16.566</v>
      </c>
      <c r="O33" s="2">
        <v>3.396</v>
      </c>
      <c r="P33" s="2"/>
      <c r="Q33" s="2">
        <v>2.475</v>
      </c>
      <c r="R33" s="2">
        <v>17.173</v>
      </c>
      <c r="S33" s="2">
        <v>0.256</v>
      </c>
      <c r="T33" s="2">
        <f>K33+L33+M33+N33+O33+P33+Q33+R33+S33</f>
        <v>146.274</v>
      </c>
      <c r="U33" s="2"/>
      <c r="V33" s="2">
        <v>173.721</v>
      </c>
      <c r="W33" s="2">
        <v>4.423</v>
      </c>
      <c r="X33" s="2">
        <v>13.881</v>
      </c>
      <c r="Y33" s="2">
        <v>4.905</v>
      </c>
      <c r="Z33" s="2">
        <v>4.591</v>
      </c>
      <c r="AA33" s="2">
        <v>26.82</v>
      </c>
      <c r="AB33" s="2">
        <v>9.84</v>
      </c>
      <c r="AC33" s="2">
        <v>24.707</v>
      </c>
      <c r="AD33" s="2">
        <v>0.005</v>
      </c>
      <c r="AE33" s="2">
        <v>58.19</v>
      </c>
      <c r="AF33" s="2">
        <v>14.557</v>
      </c>
      <c r="AG33" s="2">
        <v>12.765</v>
      </c>
      <c r="AH33" s="2">
        <v>33.765</v>
      </c>
      <c r="AI33" s="2">
        <v>0.333</v>
      </c>
      <c r="AJ33" s="2">
        <v>4.984</v>
      </c>
      <c r="AK33" s="2">
        <v>17.086</v>
      </c>
      <c r="AL33" s="2">
        <v>88.265</v>
      </c>
      <c r="AM33" s="2">
        <v>1.171</v>
      </c>
      <c r="AN33" s="2">
        <v>88.668</v>
      </c>
      <c r="AO33" s="2">
        <v>239.729</v>
      </c>
      <c r="AP33" s="2">
        <v>142.618</v>
      </c>
      <c r="AQ33" s="2">
        <v>0.248</v>
      </c>
      <c r="AR33" s="2">
        <v>1213.223</v>
      </c>
      <c r="AS33" s="2">
        <v>162.242</v>
      </c>
      <c r="AT33" s="2">
        <v>328.118</v>
      </c>
      <c r="AU33" s="2">
        <v>18.58</v>
      </c>
      <c r="AV33" s="2">
        <v>61.097</v>
      </c>
      <c r="AW33" s="2"/>
      <c r="AX33" s="2">
        <v>7.931</v>
      </c>
      <c r="AY33" s="13"/>
      <c r="AZ33" s="2">
        <f>AZ32+AZ35</f>
        <v>45084.950820000005</v>
      </c>
      <c r="BA33" s="2">
        <v>65.341</v>
      </c>
      <c r="BB33" s="13"/>
      <c r="BC33" s="2">
        <f>BB32+BB35</f>
        <v>48804.62</v>
      </c>
      <c r="BE33" s="20"/>
    </row>
    <row r="34" spans="1:57" ht="24" customHeight="1">
      <c r="A34" s="1"/>
      <c r="B34" s="4" t="s">
        <v>97</v>
      </c>
      <c r="C34" s="13"/>
      <c r="D34" s="13"/>
      <c r="E34" s="13"/>
      <c r="F34" s="2">
        <f>F32/F33</f>
        <v>19.2972972972973</v>
      </c>
      <c r="G34" s="13"/>
      <c r="H34" s="13"/>
      <c r="I34" s="13"/>
      <c r="J34" s="2">
        <f aca="true" t="shared" si="7" ref="J34:O34">J32/J33</f>
        <v>19.300723389596968</v>
      </c>
      <c r="K34" s="2">
        <f t="shared" si="7"/>
        <v>15.8</v>
      </c>
      <c r="L34" s="2">
        <f t="shared" si="7"/>
        <v>15.800010946308358</v>
      </c>
      <c r="M34" s="2">
        <f t="shared" si="7"/>
        <v>15.800005023106287</v>
      </c>
      <c r="N34" s="2">
        <f t="shared" si="7"/>
        <v>15.80001207292044</v>
      </c>
      <c r="O34" s="2">
        <f t="shared" si="7"/>
        <v>15.800058892815075</v>
      </c>
      <c r="P34" s="2"/>
      <c r="Q34" s="2">
        <f>Q32/Q33</f>
        <v>15.799999999999999</v>
      </c>
      <c r="R34" s="2">
        <f>R32/R33</f>
        <v>15.799976707622434</v>
      </c>
      <c r="S34" s="2">
        <v>15.8</v>
      </c>
      <c r="T34" s="2">
        <f>T32/T33</f>
        <v>15.80007383403749</v>
      </c>
      <c r="U34" s="2"/>
      <c r="V34" s="2">
        <v>16.46</v>
      </c>
      <c r="W34" s="2">
        <f>W32/W33</f>
        <v>16.464390685055392</v>
      </c>
      <c r="X34" s="2">
        <v>16.46</v>
      </c>
      <c r="Y34" s="2">
        <v>16.46</v>
      </c>
      <c r="Z34" s="2">
        <v>16.46</v>
      </c>
      <c r="AA34" s="2">
        <v>16.46</v>
      </c>
      <c r="AB34" s="2">
        <f>AB32/AB33</f>
        <v>16.461178861788618</v>
      </c>
      <c r="AC34" s="2">
        <v>16.46</v>
      </c>
      <c r="AD34" s="2">
        <v>16.46</v>
      </c>
      <c r="AE34" s="2">
        <v>16.46</v>
      </c>
      <c r="AF34" s="2">
        <f>AF32/AF33</f>
        <v>16.460877928144537</v>
      </c>
      <c r="AG34" s="2">
        <v>16.46</v>
      </c>
      <c r="AH34" s="2">
        <v>16.46</v>
      </c>
      <c r="AI34" s="2">
        <v>16.46</v>
      </c>
      <c r="AJ34" s="2">
        <v>16.46</v>
      </c>
      <c r="AK34" s="2">
        <f>AK32/AK33</f>
        <v>16.45587030317219</v>
      </c>
      <c r="AL34" s="2">
        <v>16.46</v>
      </c>
      <c r="AM34" s="2">
        <v>16.46</v>
      </c>
      <c r="AN34" s="2">
        <v>16.46</v>
      </c>
      <c r="AO34" s="2">
        <f>AO32/AO33</f>
        <v>16.460002753108718</v>
      </c>
      <c r="AP34" s="2">
        <f>AP32/AP33</f>
        <v>16.460096201040542</v>
      </c>
      <c r="AQ34" s="2">
        <v>16.46</v>
      </c>
      <c r="AR34" s="2">
        <f>AR32/AR33</f>
        <v>13.120000000000001</v>
      </c>
      <c r="AS34" s="2">
        <f>AS32/AS33</f>
        <v>13.120000000000001</v>
      </c>
      <c r="AT34" s="2">
        <f>AT32/AT33</f>
        <v>13.12</v>
      </c>
      <c r="AU34" s="2">
        <f>AU32/AU33</f>
        <v>13.120000000000001</v>
      </c>
      <c r="AV34" s="2">
        <f>AV32/AV33</f>
        <v>13.12</v>
      </c>
      <c r="AW34" s="2"/>
      <c r="AX34" s="2">
        <f>AX32/AX33</f>
        <v>13.120000000000001</v>
      </c>
      <c r="AY34" s="13"/>
      <c r="AZ34" s="13"/>
      <c r="BA34" s="2">
        <f>BA32/BA33</f>
        <v>19.299520974579515</v>
      </c>
      <c r="BB34" s="13"/>
      <c r="BC34" s="2"/>
      <c r="BE34" s="20"/>
    </row>
    <row r="35" spans="1:57" ht="24" customHeight="1">
      <c r="A35" s="1">
        <v>6</v>
      </c>
      <c r="B35" s="18" t="s">
        <v>112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2">
        <v>1.669</v>
      </c>
      <c r="L35" s="2">
        <v>3.538</v>
      </c>
      <c r="M35" s="2">
        <v>4.133</v>
      </c>
      <c r="N35" s="2">
        <v>1.736</v>
      </c>
      <c r="O35" s="2">
        <v>0</v>
      </c>
      <c r="P35" s="2">
        <v>0</v>
      </c>
      <c r="Q35" s="2">
        <v>0</v>
      </c>
      <c r="R35" s="2">
        <v>10.064</v>
      </c>
      <c r="S35" s="2">
        <v>0</v>
      </c>
      <c r="T35" s="13">
        <v>21.14</v>
      </c>
      <c r="U35" s="2">
        <f>K35+L35+M35+N35+O35+P35+Q35+R35+S35</f>
        <v>21.14</v>
      </c>
      <c r="V35" s="2">
        <v>1073.17</v>
      </c>
      <c r="W35" s="2">
        <v>30.657</v>
      </c>
      <c r="X35" s="2">
        <v>41.91</v>
      </c>
      <c r="Y35" s="2">
        <v>36.769</v>
      </c>
      <c r="Z35" s="2">
        <v>34.397</v>
      </c>
      <c r="AA35" s="2">
        <v>109.255</v>
      </c>
      <c r="AB35" s="2">
        <v>71.797</v>
      </c>
      <c r="AC35" s="2">
        <v>100.71</v>
      </c>
      <c r="AD35" s="2">
        <v>0.0308</v>
      </c>
      <c r="AE35" s="2">
        <v>246.589</v>
      </c>
      <c r="AF35" s="2">
        <v>105.295</v>
      </c>
      <c r="AG35" s="2">
        <v>90.514</v>
      </c>
      <c r="AH35" s="2">
        <v>54.268</v>
      </c>
      <c r="AI35" s="2">
        <v>0</v>
      </c>
      <c r="AJ35" s="2">
        <v>1.143</v>
      </c>
      <c r="AK35" s="2">
        <v>118.538</v>
      </c>
      <c r="AL35" s="2">
        <v>629.147</v>
      </c>
      <c r="AM35" s="2">
        <v>0</v>
      </c>
      <c r="AN35" s="2">
        <v>551.217</v>
      </c>
      <c r="AO35" s="2">
        <v>1281.96</v>
      </c>
      <c r="AP35" s="2">
        <v>1120.435</v>
      </c>
      <c r="AQ35" s="2">
        <v>2.165</v>
      </c>
      <c r="AR35" s="2"/>
      <c r="AS35" s="2"/>
      <c r="AT35" s="2"/>
      <c r="AU35" s="2"/>
      <c r="AV35" s="2"/>
      <c r="AW35" s="2"/>
      <c r="AX35" s="2"/>
      <c r="AY35" s="13">
        <v>5699.97</v>
      </c>
      <c r="AZ35" s="2">
        <f>V35+W35+X35+Y35+Z35+AA35+AB35+AC35+AD35+AE35+AF35+AG35+AH35+AI35+AJ35+AK35+AL35+AM35+AN35+AO35+AP35+AQ35</f>
        <v>5699.966799999999</v>
      </c>
      <c r="BA35" s="13"/>
      <c r="BB35" s="13">
        <f>AY35+T35+J35+I35+H35+G35+F35+E35+D35+C35</f>
        <v>5721.110000000001</v>
      </c>
      <c r="BC35" s="2"/>
      <c r="BE35" s="20"/>
    </row>
    <row r="36" spans="1:57" ht="24" customHeight="1">
      <c r="A36" s="1"/>
      <c r="B36" s="4" t="s">
        <v>111</v>
      </c>
      <c r="C36" s="13"/>
      <c r="D36" s="13"/>
      <c r="E36" s="13"/>
      <c r="F36" s="13"/>
      <c r="G36" s="13"/>
      <c r="H36" s="13"/>
      <c r="I36" s="13"/>
      <c r="J36" s="13"/>
      <c r="K36" s="2">
        <v>0.253</v>
      </c>
      <c r="L36" s="2">
        <v>0.536</v>
      </c>
      <c r="M36" s="2">
        <v>0.626</v>
      </c>
      <c r="N36" s="2">
        <v>0.263</v>
      </c>
      <c r="O36" s="2"/>
      <c r="P36" s="2"/>
      <c r="Q36" s="2"/>
      <c r="R36" s="2">
        <v>1.525</v>
      </c>
      <c r="S36" s="2"/>
      <c r="T36" s="2">
        <f>K36+L36+M36+N36+O36+P36+Q36+R36+S36</f>
        <v>3.203</v>
      </c>
      <c r="U36" s="2"/>
      <c r="V36" s="2">
        <v>122.089</v>
      </c>
      <c r="W36" s="2">
        <v>3.488</v>
      </c>
      <c r="X36" s="2">
        <v>4.766</v>
      </c>
      <c r="Y36" s="2">
        <v>4.184</v>
      </c>
      <c r="Z36" s="2">
        <v>3.913</v>
      </c>
      <c r="AA36" s="2">
        <v>12.432</v>
      </c>
      <c r="AB36" s="2">
        <v>8.17</v>
      </c>
      <c r="AC36" s="2">
        <v>11.453</v>
      </c>
      <c r="AD36" s="50">
        <v>0.0035</v>
      </c>
      <c r="AE36" s="2">
        <v>28.058</v>
      </c>
      <c r="AF36" s="2">
        <v>11.982</v>
      </c>
      <c r="AG36" s="2">
        <v>10.295</v>
      </c>
      <c r="AH36" s="2">
        <v>6.172</v>
      </c>
      <c r="AI36" s="2"/>
      <c r="AJ36" s="2">
        <v>0.13</v>
      </c>
      <c r="AK36" s="2">
        <v>13.492</v>
      </c>
      <c r="AL36" s="2">
        <v>71.633</v>
      </c>
      <c r="AM36" s="2"/>
      <c r="AN36" s="2">
        <v>62.704</v>
      </c>
      <c r="AO36" s="2">
        <v>145.84</v>
      </c>
      <c r="AP36" s="2">
        <v>127.503</v>
      </c>
      <c r="AQ36" s="2">
        <v>0.247</v>
      </c>
      <c r="AR36" s="2"/>
      <c r="AS36" s="2"/>
      <c r="AT36" s="2"/>
      <c r="AU36" s="2"/>
      <c r="AV36" s="2"/>
      <c r="AW36" s="2"/>
      <c r="AX36" s="2"/>
      <c r="AY36" s="13"/>
      <c r="AZ36" s="2"/>
      <c r="BA36" s="13"/>
      <c r="BB36" s="13"/>
      <c r="BC36" s="2"/>
      <c r="BE36" s="20"/>
    </row>
    <row r="37" spans="1:57" ht="24" customHeight="1">
      <c r="A37" s="1"/>
      <c r="B37" s="4" t="s">
        <v>97</v>
      </c>
      <c r="C37" s="13"/>
      <c r="D37" s="13"/>
      <c r="E37" s="13"/>
      <c r="F37" s="13"/>
      <c r="G37" s="13"/>
      <c r="H37" s="13"/>
      <c r="I37" s="13"/>
      <c r="J37" s="13"/>
      <c r="K37" s="2">
        <f>K35/K36</f>
        <v>6.596837944664031</v>
      </c>
      <c r="L37" s="2">
        <f>L35/L36</f>
        <v>6.6007462686567155</v>
      </c>
      <c r="M37" s="2">
        <f>M35/M36</f>
        <v>6.60223642172524</v>
      </c>
      <c r="N37" s="2">
        <f>N35/N36</f>
        <v>6.600760456273764</v>
      </c>
      <c r="O37" s="2"/>
      <c r="P37" s="2"/>
      <c r="Q37" s="2"/>
      <c r="R37" s="2">
        <f>R35/R36</f>
        <v>6.599344262295082</v>
      </c>
      <c r="S37" s="2"/>
      <c r="T37" s="2">
        <f>T35/T36</f>
        <v>6.600062441461131</v>
      </c>
      <c r="U37" s="2"/>
      <c r="V37" s="2">
        <f aca="true" t="shared" si="8" ref="V37:AC37">V35/V36</f>
        <v>8.790062986837471</v>
      </c>
      <c r="W37" s="2">
        <f t="shared" si="8"/>
        <v>8.78927752293578</v>
      </c>
      <c r="X37" s="2">
        <f t="shared" si="8"/>
        <v>8.793537557700377</v>
      </c>
      <c r="Y37" s="2">
        <f t="shared" si="8"/>
        <v>8.788001912045889</v>
      </c>
      <c r="Z37" s="2">
        <f t="shared" si="8"/>
        <v>8.790442116023511</v>
      </c>
      <c r="AA37" s="2">
        <f t="shared" si="8"/>
        <v>8.78820785070785</v>
      </c>
      <c r="AB37" s="2">
        <f t="shared" si="8"/>
        <v>8.787882496940025</v>
      </c>
      <c r="AC37" s="2">
        <f t="shared" si="8"/>
        <v>8.793329258709509</v>
      </c>
      <c r="AD37" s="2">
        <v>8.79</v>
      </c>
      <c r="AE37" s="2">
        <f>AE35/AE36</f>
        <v>8.788545156461614</v>
      </c>
      <c r="AF37" s="2">
        <f>AF35/AF36</f>
        <v>8.78776498080454</v>
      </c>
      <c r="AG37" s="2">
        <f>AG35/AG36</f>
        <v>8.792034968431278</v>
      </c>
      <c r="AH37" s="2">
        <f>AH35/AH36</f>
        <v>8.792611795204149</v>
      </c>
      <c r="AI37" s="2"/>
      <c r="AJ37" s="2">
        <f>AJ35/AJ36</f>
        <v>8.792307692307691</v>
      </c>
      <c r="AK37" s="2">
        <f>AK35/AK36</f>
        <v>8.785798991995255</v>
      </c>
      <c r="AL37" s="2">
        <v>8.79</v>
      </c>
      <c r="AM37" s="2"/>
      <c r="AN37" s="2">
        <f>AN35/AN36</f>
        <v>8.79077889767798</v>
      </c>
      <c r="AO37" s="2">
        <v>8.79</v>
      </c>
      <c r="AP37" s="2">
        <f>AP35/AP36</f>
        <v>8.787518725049607</v>
      </c>
      <c r="AQ37" s="2">
        <v>8.79</v>
      </c>
      <c r="AR37" s="2"/>
      <c r="AS37" s="2"/>
      <c r="AT37" s="2"/>
      <c r="AU37" s="2"/>
      <c r="AV37" s="2"/>
      <c r="AW37" s="2"/>
      <c r="AX37" s="2"/>
      <c r="AY37" s="13"/>
      <c r="AZ37" s="2"/>
      <c r="BA37" s="13"/>
      <c r="BB37" s="13"/>
      <c r="BC37" s="2"/>
      <c r="BE37" s="20"/>
    </row>
    <row r="38" spans="1:57" ht="24" customHeight="1">
      <c r="A38" s="1">
        <v>7</v>
      </c>
      <c r="B38" s="18" t="s">
        <v>127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/>
      <c r="I38" s="13">
        <v>0</v>
      </c>
      <c r="J38" s="13">
        <v>24.5</v>
      </c>
      <c r="K38" s="2">
        <v>117.83</v>
      </c>
      <c r="L38" s="2">
        <v>142.41</v>
      </c>
      <c r="M38" s="2">
        <v>129.97</v>
      </c>
      <c r="N38" s="2">
        <v>69.04</v>
      </c>
      <c r="O38" s="2">
        <v>1.7</v>
      </c>
      <c r="P38" s="2">
        <v>0</v>
      </c>
      <c r="Q38" s="2">
        <v>2.22</v>
      </c>
      <c r="R38" s="2">
        <v>26.73</v>
      </c>
      <c r="S38" s="2">
        <v>0</v>
      </c>
      <c r="T38" s="13">
        <f>S38+R38+Q38+P38+O38+N38+M38+L38+K38</f>
        <v>489.9</v>
      </c>
      <c r="U38" s="2">
        <v>489.9</v>
      </c>
      <c r="V38" s="2">
        <v>421</v>
      </c>
      <c r="W38" s="2">
        <v>0</v>
      </c>
      <c r="X38" s="2">
        <v>39.53</v>
      </c>
      <c r="Y38" s="2">
        <v>11.59</v>
      </c>
      <c r="Z38" s="2">
        <v>32.07</v>
      </c>
      <c r="AA38" s="2">
        <v>177.05</v>
      </c>
      <c r="AB38" s="2">
        <v>0</v>
      </c>
      <c r="AC38" s="2">
        <v>156.73</v>
      </c>
      <c r="AD38" s="2">
        <v>0</v>
      </c>
      <c r="AE38" s="2">
        <v>317.98</v>
      </c>
      <c r="AF38" s="2">
        <v>154.02</v>
      </c>
      <c r="AG38" s="2">
        <v>0</v>
      </c>
      <c r="AH38" s="2">
        <v>0</v>
      </c>
      <c r="AI38" s="2">
        <v>0</v>
      </c>
      <c r="AJ38" s="2">
        <v>0</v>
      </c>
      <c r="AK38" s="2">
        <v>26.67</v>
      </c>
      <c r="AL38" s="2">
        <v>815.3</v>
      </c>
      <c r="AM38" s="2">
        <v>0</v>
      </c>
      <c r="AN38" s="2">
        <v>462.82</v>
      </c>
      <c r="AO38" s="2">
        <v>575.48</v>
      </c>
      <c r="AP38" s="2">
        <v>607.46</v>
      </c>
      <c r="AQ38" s="2">
        <v>0</v>
      </c>
      <c r="AR38" s="2"/>
      <c r="AS38" s="2"/>
      <c r="AT38" s="2"/>
      <c r="AU38" s="2"/>
      <c r="AV38" s="2"/>
      <c r="AW38" s="2"/>
      <c r="AX38" s="2"/>
      <c r="AY38" s="13">
        <f>AX38+AW38+AV38+AU38+AT38+AS38+AR38+AQ38+AP38+AO38+AN38+AM38+AL38+AK38+AJ38+AI38+AH38+AG38+AF38+AE38+AD38+AC38+AB38+AA38+Z38+Y38+X38+W38+V38</f>
        <v>3797.7000000000007</v>
      </c>
      <c r="AZ38" s="2">
        <v>3797.7</v>
      </c>
      <c r="BA38" s="13">
        <v>27.9</v>
      </c>
      <c r="BB38" s="13"/>
      <c r="BC38" s="2">
        <v>4340</v>
      </c>
      <c r="BE38" s="20"/>
    </row>
    <row r="39" spans="1:57" ht="36.75" customHeight="1">
      <c r="A39" s="1">
        <v>8</v>
      </c>
      <c r="B39" s="18" t="s">
        <v>125</v>
      </c>
      <c r="C39" s="13">
        <v>2</v>
      </c>
      <c r="D39" s="13">
        <v>1</v>
      </c>
      <c r="E39" s="13">
        <v>3</v>
      </c>
      <c r="F39" s="13">
        <v>5</v>
      </c>
      <c r="G39" s="13">
        <v>0.5</v>
      </c>
      <c r="H39" s="13">
        <v>1.5</v>
      </c>
      <c r="I39" s="13">
        <v>2</v>
      </c>
      <c r="J39" s="13">
        <v>10</v>
      </c>
      <c r="K39" s="2">
        <v>8</v>
      </c>
      <c r="L39" s="2">
        <v>9</v>
      </c>
      <c r="M39" s="2">
        <v>10</v>
      </c>
      <c r="N39" s="2">
        <v>9</v>
      </c>
      <c r="O39" s="2">
        <v>8</v>
      </c>
      <c r="P39" s="2">
        <v>4</v>
      </c>
      <c r="Q39" s="2">
        <v>6</v>
      </c>
      <c r="R39" s="2">
        <v>11</v>
      </c>
      <c r="S39" s="2">
        <v>3</v>
      </c>
      <c r="T39" s="13">
        <f>K39+L39+M39+N39+O39+P39+Q39+R39+S39</f>
        <v>68</v>
      </c>
      <c r="U39" s="2"/>
      <c r="V39" s="2">
        <v>19</v>
      </c>
      <c r="W39" s="2">
        <v>7</v>
      </c>
      <c r="X39" s="2">
        <v>11</v>
      </c>
      <c r="Y39" s="2">
        <v>4</v>
      </c>
      <c r="Z39" s="2">
        <v>5</v>
      </c>
      <c r="AA39" s="2">
        <v>9</v>
      </c>
      <c r="AB39" s="2">
        <v>13</v>
      </c>
      <c r="AC39" s="2">
        <v>13.5</v>
      </c>
      <c r="AD39" s="2">
        <v>2</v>
      </c>
      <c r="AE39" s="2">
        <v>17</v>
      </c>
      <c r="AF39" s="2">
        <v>9.5</v>
      </c>
      <c r="AG39" s="2">
        <v>8.5</v>
      </c>
      <c r="AH39" s="2">
        <v>6.5</v>
      </c>
      <c r="AI39" s="2">
        <v>5</v>
      </c>
      <c r="AJ39" s="2">
        <v>8</v>
      </c>
      <c r="AK39" s="2">
        <v>12</v>
      </c>
      <c r="AL39" s="2">
        <v>24</v>
      </c>
      <c r="AM39" s="2">
        <v>6</v>
      </c>
      <c r="AN39" s="2">
        <v>17</v>
      </c>
      <c r="AO39" s="2">
        <v>20</v>
      </c>
      <c r="AP39" s="2">
        <v>22</v>
      </c>
      <c r="AQ39" s="2">
        <v>4</v>
      </c>
      <c r="AR39" s="2">
        <v>3</v>
      </c>
      <c r="AS39" s="2">
        <v>4</v>
      </c>
      <c r="AT39" s="2">
        <v>7</v>
      </c>
      <c r="AU39" s="2">
        <v>10</v>
      </c>
      <c r="AV39" s="2">
        <v>9</v>
      </c>
      <c r="AW39" s="2">
        <v>3</v>
      </c>
      <c r="AX39" s="2">
        <v>3</v>
      </c>
      <c r="AY39" s="13">
        <f>V39+W39+X39+Y39+Z39+AA39+AB39+AC39+AD39+AE39+AF39+AG39+AH39+AI39+AJ39+AK39+AL39+AM39+AN39+AO39+AP39+AQ39+AR39+AS39+AT39+AU39+AV39+AW39+AX39</f>
        <v>282</v>
      </c>
      <c r="AZ39" s="2"/>
      <c r="BA39" s="13">
        <v>10</v>
      </c>
      <c r="BB39" s="13">
        <f>BA39+AY39+T39+J39+I39+H39+G39+F39+E39+D39+C39</f>
        <v>385</v>
      </c>
      <c r="BC39" s="2"/>
      <c r="BD39" s="60"/>
      <c r="BE39" s="20"/>
    </row>
    <row r="40" spans="1:57" ht="29.25" customHeight="1">
      <c r="A40" s="3" t="s">
        <v>128</v>
      </c>
      <c r="B40" s="18" t="s">
        <v>126</v>
      </c>
      <c r="C40" s="13">
        <v>242</v>
      </c>
      <c r="D40" s="13">
        <v>153.91</v>
      </c>
      <c r="E40" s="13">
        <v>399.3</v>
      </c>
      <c r="F40" s="13">
        <v>934.82</v>
      </c>
      <c r="G40" s="13">
        <v>37.45</v>
      </c>
      <c r="H40" s="13">
        <v>168.75</v>
      </c>
      <c r="I40" s="13">
        <v>172.03</v>
      </c>
      <c r="J40" s="13">
        <v>1562</v>
      </c>
      <c r="K40" s="2">
        <f>0.1177*T40</f>
        <v>1309.5631560000002</v>
      </c>
      <c r="L40" s="2">
        <f>0.1324*T40</f>
        <v>1473.119472</v>
      </c>
      <c r="M40" s="2">
        <f>0.1471*T40</f>
        <v>1636.6757880000002</v>
      </c>
      <c r="N40" s="2">
        <f>0.1324*T40</f>
        <v>1473.119472</v>
      </c>
      <c r="O40" s="2">
        <f>0.1177*T40</f>
        <v>1309.5631560000002</v>
      </c>
      <c r="P40" s="2">
        <f>0.0588*T40</f>
        <v>654.225264</v>
      </c>
      <c r="Q40" s="2">
        <f>0.0872*T40</f>
        <v>970.211616</v>
      </c>
      <c r="R40" s="2">
        <v>1809.13</v>
      </c>
      <c r="S40" s="2">
        <f>0.0441*T40</f>
        <v>490.66894800000006</v>
      </c>
      <c r="T40" s="13">
        <v>11126.28</v>
      </c>
      <c r="U40" s="2">
        <f>K40+L40+M40+N40+O40+P40+Q40+R40+S40</f>
        <v>11126.276872</v>
      </c>
      <c r="V40" s="2">
        <v>2655.11</v>
      </c>
      <c r="W40" s="2">
        <v>811.23</v>
      </c>
      <c r="X40" s="2">
        <v>1784.64</v>
      </c>
      <c r="Y40" s="2">
        <v>559.42</v>
      </c>
      <c r="Z40" s="2">
        <v>702.4</v>
      </c>
      <c r="AA40" s="2">
        <v>1583.24</v>
      </c>
      <c r="AB40" s="2">
        <v>2160.11</v>
      </c>
      <c r="AC40" s="2">
        <v>2229.83</v>
      </c>
      <c r="AD40" s="2">
        <v>134.01</v>
      </c>
      <c r="AE40" s="2">
        <v>2897.87</v>
      </c>
      <c r="AF40" s="2">
        <v>1532.36</v>
      </c>
      <c r="AG40" s="2">
        <v>1328.49</v>
      </c>
      <c r="AH40" s="2">
        <v>1134.8</v>
      </c>
      <c r="AI40" s="2">
        <v>739.15</v>
      </c>
      <c r="AJ40" s="2">
        <v>1367.64</v>
      </c>
      <c r="AK40" s="2">
        <v>1877.45</v>
      </c>
      <c r="AL40" s="2">
        <v>4111.32</v>
      </c>
      <c r="AM40" s="2">
        <v>1008.3</v>
      </c>
      <c r="AN40" s="2">
        <v>2548.16</v>
      </c>
      <c r="AO40" s="2">
        <v>2153.73</v>
      </c>
      <c r="AP40" s="2">
        <v>3960.11</v>
      </c>
      <c r="AQ40" s="2">
        <v>666.6</v>
      </c>
      <c r="AR40" s="2">
        <v>553.39</v>
      </c>
      <c r="AS40" s="2">
        <v>613.65</v>
      </c>
      <c r="AT40" s="2">
        <v>1164.57</v>
      </c>
      <c r="AU40" s="2">
        <v>1346.47</v>
      </c>
      <c r="AV40" s="2">
        <v>458.27</v>
      </c>
      <c r="AW40" s="2">
        <v>187.25</v>
      </c>
      <c r="AX40" s="2">
        <v>150.44</v>
      </c>
      <c r="AY40" s="13">
        <f>V40+W40+X40+Y40+Z40+AA40+AB40+AC40+AD40+AE40+AF40+AG40+AH40+AI40+AJ40+AK40+AL40+AM40+AN40+AO40+AP40+AQ40+AR40+AS40+AT40+AU40+AV40+AW40+AX40</f>
        <v>42420.01</v>
      </c>
      <c r="AZ40" s="2">
        <v>42420.01</v>
      </c>
      <c r="BA40" s="13">
        <v>2256</v>
      </c>
      <c r="BB40" s="13">
        <f>BA40+AY40+T40+J40+I40+H40+G40+F40+E40+D40+C40</f>
        <v>59472.55</v>
      </c>
      <c r="BC40" s="2"/>
      <c r="BD40" s="20"/>
      <c r="BE40" s="20"/>
    </row>
    <row r="41" spans="1:57" ht="15.75">
      <c r="A41" s="55">
        <v>10</v>
      </c>
      <c r="B41" s="18" t="s">
        <v>143</v>
      </c>
      <c r="C41" s="13">
        <v>72.6</v>
      </c>
      <c r="D41" s="13">
        <v>46.17</v>
      </c>
      <c r="E41" s="13">
        <v>122.16</v>
      </c>
      <c r="F41" s="13">
        <v>230.67</v>
      </c>
      <c r="G41" s="13">
        <v>11.23</v>
      </c>
      <c r="H41" s="13">
        <v>50.35</v>
      </c>
      <c r="I41" s="13">
        <v>64.08</v>
      </c>
      <c r="J41" s="13">
        <v>452.98</v>
      </c>
      <c r="K41" s="2">
        <v>360</v>
      </c>
      <c r="L41" s="2">
        <v>405.16</v>
      </c>
      <c r="M41" s="2">
        <v>450.15</v>
      </c>
      <c r="N41" s="2">
        <v>405.16</v>
      </c>
      <c r="O41" s="2">
        <v>360.18</v>
      </c>
      <c r="P41" s="2">
        <v>179.64</v>
      </c>
      <c r="Q41" s="2">
        <v>266.84</v>
      </c>
      <c r="R41" s="2">
        <v>498.06</v>
      </c>
      <c r="S41" s="2">
        <v>134.95</v>
      </c>
      <c r="T41" s="13">
        <f>K41+L41+M41+N41+O41+P41+Q41+R41+S41</f>
        <v>3060.14</v>
      </c>
      <c r="U41" s="2">
        <v>3060.14</v>
      </c>
      <c r="V41" s="2">
        <v>796.53</v>
      </c>
      <c r="W41" s="2">
        <v>243.37</v>
      </c>
      <c r="X41" s="2">
        <v>535.39</v>
      </c>
      <c r="Y41" s="2">
        <v>156.64</v>
      </c>
      <c r="Z41" s="2">
        <v>210.72</v>
      </c>
      <c r="AA41" s="2">
        <v>490.8</v>
      </c>
      <c r="AB41" s="2">
        <v>622.63</v>
      </c>
      <c r="AC41" s="2">
        <v>676.24</v>
      </c>
      <c r="AD41" s="2">
        <v>38.22</v>
      </c>
      <c r="AE41" s="2">
        <v>869.36</v>
      </c>
      <c r="AF41" s="2">
        <v>459.6</v>
      </c>
      <c r="AG41" s="2">
        <v>380.26</v>
      </c>
      <c r="AH41" s="2">
        <v>340.44</v>
      </c>
      <c r="AI41" s="2">
        <v>214.35</v>
      </c>
      <c r="AJ41" s="2">
        <v>410.29</v>
      </c>
      <c r="AK41" s="2">
        <v>563.24</v>
      </c>
      <c r="AL41" s="2">
        <v>1233.4</v>
      </c>
      <c r="AM41" s="2">
        <v>302.49</v>
      </c>
      <c r="AN41" s="2">
        <v>764.45</v>
      </c>
      <c r="AO41" s="2">
        <v>646.12</v>
      </c>
      <c r="AP41" s="2">
        <v>1227.63</v>
      </c>
      <c r="AQ41" s="2">
        <v>199.23</v>
      </c>
      <c r="AR41" s="2">
        <v>166.02</v>
      </c>
      <c r="AS41" s="2">
        <v>190.23</v>
      </c>
      <c r="AT41" s="2">
        <v>349.37</v>
      </c>
      <c r="AU41" s="2">
        <v>403.94</v>
      </c>
      <c r="AV41" s="2">
        <v>137.48</v>
      </c>
      <c r="AW41" s="2">
        <v>52.43</v>
      </c>
      <c r="AX41" s="2">
        <v>45.13</v>
      </c>
      <c r="AY41" s="13">
        <f>V41+W41+X41+Y41+Z41+AA41+AB41+AC41+AD41+AE41+AF41+AG41+AH41+AI41+AJ41+AK41+AL41+AM41+AN41+AO41+AP41+AQ41+AR41+AS41+AT41+AU41+AV41+AW41+AX41</f>
        <v>12726.000000000002</v>
      </c>
      <c r="AZ41" s="2">
        <v>12726.003</v>
      </c>
      <c r="BA41" s="13">
        <v>654.24</v>
      </c>
      <c r="BB41" s="13">
        <f>BA41+AY41+T41+J41+I41+H41+G41+F41+E41+D41+C41</f>
        <v>17490.619999999995</v>
      </c>
      <c r="BC41" s="2"/>
      <c r="BE41" s="20"/>
    </row>
    <row r="42" spans="1:57" ht="17.25" customHeight="1" hidden="1">
      <c r="A42" s="1"/>
      <c r="B42" s="4" t="s">
        <v>124</v>
      </c>
      <c r="C42" s="49">
        <v>0.00043</v>
      </c>
      <c r="D42" s="49">
        <v>0.00034</v>
      </c>
      <c r="E42" s="49">
        <v>0.00034</v>
      </c>
      <c r="F42" s="49">
        <v>0.00067</v>
      </c>
      <c r="G42" s="49">
        <v>0.00015</v>
      </c>
      <c r="H42" s="49">
        <v>0.00048</v>
      </c>
      <c r="I42" s="49">
        <v>0.00052</v>
      </c>
      <c r="J42" s="49">
        <v>0.00575</v>
      </c>
      <c r="K42" s="49">
        <v>0.01328</v>
      </c>
      <c r="L42" s="49">
        <v>0.01521</v>
      </c>
      <c r="M42" s="49">
        <v>0.01939</v>
      </c>
      <c r="N42" s="49">
        <v>0.01548</v>
      </c>
      <c r="O42" s="49">
        <v>0.00265</v>
      </c>
      <c r="P42" s="49">
        <v>0.00038</v>
      </c>
      <c r="Q42" s="49">
        <v>0.00135</v>
      </c>
      <c r="R42" s="49">
        <v>0.00238</v>
      </c>
      <c r="S42" s="49">
        <v>0.0097</v>
      </c>
      <c r="T42" s="13"/>
      <c r="U42" s="2"/>
      <c r="V42" s="49">
        <v>0.0396</v>
      </c>
      <c r="W42" s="49">
        <v>0.00419</v>
      </c>
      <c r="X42" s="49">
        <v>0.00652</v>
      </c>
      <c r="Y42" s="49">
        <v>0.00435</v>
      </c>
      <c r="Z42" s="49">
        <v>0.0024</v>
      </c>
      <c r="AA42" s="49">
        <v>0.01453</v>
      </c>
      <c r="AB42" s="49">
        <v>0.00836</v>
      </c>
      <c r="AC42" s="49">
        <v>0.01385</v>
      </c>
      <c r="AD42" s="49">
        <v>0.00022</v>
      </c>
      <c r="AE42" s="49">
        <v>0.01673</v>
      </c>
      <c r="AF42" s="49">
        <v>0.01257</v>
      </c>
      <c r="AG42" s="49">
        <v>0.00913</v>
      </c>
      <c r="AH42" s="49">
        <v>0.00691</v>
      </c>
      <c r="AI42" s="49">
        <v>0.00412</v>
      </c>
      <c r="AJ42" s="49">
        <v>0.00269</v>
      </c>
      <c r="AK42" s="49">
        <v>0.01841</v>
      </c>
      <c r="AL42" s="49">
        <v>0.03729</v>
      </c>
      <c r="AM42" s="49">
        <v>0.0001</v>
      </c>
      <c r="AN42" s="49">
        <v>0.0425</v>
      </c>
      <c r="AO42" s="49">
        <v>0.04945</v>
      </c>
      <c r="AP42" s="49">
        <v>0.07971</v>
      </c>
      <c r="AQ42" s="49">
        <v>0.0007</v>
      </c>
      <c r="AR42" s="49">
        <v>0.17847</v>
      </c>
      <c r="AS42" s="49">
        <v>0.10595</v>
      </c>
      <c r="AT42" s="49">
        <v>0.10536</v>
      </c>
      <c r="AU42" s="49">
        <v>0.09159</v>
      </c>
      <c r="AV42" s="49">
        <v>0.01914</v>
      </c>
      <c r="AW42" s="49">
        <v>0.01623</v>
      </c>
      <c r="AX42" s="49">
        <v>0.013274</v>
      </c>
      <c r="AY42" s="13"/>
      <c r="AZ42" s="2"/>
      <c r="BA42" s="48">
        <v>0.01453</v>
      </c>
      <c r="BB42" s="13"/>
      <c r="BC42" s="2"/>
      <c r="BE42" s="20"/>
    </row>
    <row r="43" spans="1:57" ht="47.25" customHeight="1">
      <c r="A43" s="1">
        <v>11</v>
      </c>
      <c r="B43" s="18" t="s">
        <v>137</v>
      </c>
      <c r="C43" s="13">
        <f aca="true" t="shared" si="9" ref="C43:J43">C42*13810.66</f>
        <v>5.9385838</v>
      </c>
      <c r="D43" s="13">
        <v>40</v>
      </c>
      <c r="E43" s="28">
        <f t="shared" si="9"/>
        <v>4.695624400000001</v>
      </c>
      <c r="F43" s="13">
        <f t="shared" si="9"/>
        <v>9.253142200000001</v>
      </c>
      <c r="G43" s="13">
        <f t="shared" si="9"/>
        <v>2.071599</v>
      </c>
      <c r="H43" s="13">
        <f t="shared" si="9"/>
        <v>6.6291168</v>
      </c>
      <c r="I43" s="13">
        <f t="shared" si="9"/>
        <v>7.181543199999999</v>
      </c>
      <c r="J43" s="13">
        <f t="shared" si="9"/>
        <v>79.411295</v>
      </c>
      <c r="K43" s="2">
        <f>0.01328*13810.66</f>
        <v>183.4055648</v>
      </c>
      <c r="L43" s="2">
        <f>L42*13810.66</f>
        <v>210.0601386</v>
      </c>
      <c r="M43" s="2">
        <f>M42*13810.66</f>
        <v>267.7886974</v>
      </c>
      <c r="N43" s="2">
        <f>0.01548*13810.66</f>
        <v>213.7890168</v>
      </c>
      <c r="O43" s="2">
        <f>O42*13810.66</f>
        <v>36.598249</v>
      </c>
      <c r="P43" s="2">
        <f>P42*13810.66</f>
        <v>5.248050800000001</v>
      </c>
      <c r="Q43" s="2">
        <f>Q42*13810.66</f>
        <v>18.644391000000002</v>
      </c>
      <c r="R43" s="2">
        <f>R42*13810.66</f>
        <v>32.8693708</v>
      </c>
      <c r="S43" s="2">
        <f>S42*13810.66</f>
        <v>133.963402</v>
      </c>
      <c r="T43" s="13">
        <f aca="true" t="shared" si="10" ref="T43:T49">K43+L43+M43+N43+O43+P43+Q43+R43+S43</f>
        <v>1102.3668812</v>
      </c>
      <c r="U43" s="2"/>
      <c r="V43" s="2">
        <f aca="true" t="shared" si="11" ref="V43:AE43">V42*13810.66</f>
        <v>546.902136</v>
      </c>
      <c r="W43" s="2">
        <f t="shared" si="11"/>
        <v>57.8666654</v>
      </c>
      <c r="X43" s="2">
        <f t="shared" si="11"/>
        <v>90.0455032</v>
      </c>
      <c r="Y43" s="2">
        <f t="shared" si="11"/>
        <v>60.076370999999995</v>
      </c>
      <c r="Z43" s="2">
        <f t="shared" si="11"/>
        <v>33.145584</v>
      </c>
      <c r="AA43" s="2">
        <f t="shared" si="11"/>
        <v>200.6688898</v>
      </c>
      <c r="AB43" s="2">
        <f t="shared" si="11"/>
        <v>115.45711759999999</v>
      </c>
      <c r="AC43" s="2">
        <f t="shared" si="11"/>
        <v>191.277641</v>
      </c>
      <c r="AD43" s="2">
        <f t="shared" si="11"/>
        <v>3.0383452</v>
      </c>
      <c r="AE43" s="2">
        <f t="shared" si="11"/>
        <v>231.05234179999997</v>
      </c>
      <c r="AF43" s="2">
        <f aca="true" t="shared" si="12" ref="AF43:AQ43">AF42*13810.66</f>
        <v>173.5999962</v>
      </c>
      <c r="AG43" s="2">
        <f t="shared" si="12"/>
        <v>126.09132579999999</v>
      </c>
      <c r="AH43" s="2">
        <f t="shared" si="12"/>
        <v>95.4316606</v>
      </c>
      <c r="AI43" s="2">
        <f t="shared" si="12"/>
        <v>56.89991920000001</v>
      </c>
      <c r="AJ43" s="2">
        <f t="shared" si="12"/>
        <v>37.150675400000004</v>
      </c>
      <c r="AK43" s="2">
        <f t="shared" si="12"/>
        <v>254.25425059999998</v>
      </c>
      <c r="AL43" s="2">
        <f t="shared" si="12"/>
        <v>514.9995114</v>
      </c>
      <c r="AM43" s="2">
        <f t="shared" si="12"/>
        <v>1.3810660000000001</v>
      </c>
      <c r="AN43" s="2">
        <f t="shared" si="12"/>
        <v>586.9530500000001</v>
      </c>
      <c r="AO43" s="2">
        <v>647.57</v>
      </c>
      <c r="AP43" s="2">
        <f t="shared" si="12"/>
        <v>1100.8477086</v>
      </c>
      <c r="AQ43" s="2">
        <f t="shared" si="12"/>
        <v>9.667462</v>
      </c>
      <c r="AR43" s="2">
        <v>2412.95</v>
      </c>
      <c r="AS43" s="2">
        <v>1413.24</v>
      </c>
      <c r="AT43" s="2">
        <f>AT42*13810.66</f>
        <v>1455.0911376</v>
      </c>
      <c r="AU43" s="2">
        <f>AU42*13810.66</f>
        <v>1264.9183494000001</v>
      </c>
      <c r="AV43" s="2">
        <f>AV42*13810.66</f>
        <v>264.3360324</v>
      </c>
      <c r="AW43" s="2">
        <f>AW42*13810.66</f>
        <v>224.14701180000003</v>
      </c>
      <c r="AX43" s="2">
        <f>AX42*13810.66</f>
        <v>183.32270083999998</v>
      </c>
      <c r="AY43" s="13">
        <f aca="true" t="shared" si="13" ref="AY43:AY49">V43+W43+X43+Y43+Z43+AA43+AB43+AC43+AD43+AE43+AF43+AG43+AH43+AI43+AJ43+AK43+AL43+AM43+AN43+AO43+AP43+AQ43+AR43+AS43+AT43+AU43+AV43+AW43+AX43</f>
        <v>12352.382452840004</v>
      </c>
      <c r="AZ43" s="2"/>
      <c r="BA43" s="13">
        <f>BA42*13810.66</f>
        <v>200.6688898</v>
      </c>
      <c r="BB43" s="13">
        <f>C43+D43+E43+F43+G43+H43+I43+J43+T43+AY43+BA43</f>
        <v>13810.599128240003</v>
      </c>
      <c r="BC43" s="2">
        <v>13810.66</v>
      </c>
      <c r="BE43" s="20"/>
    </row>
    <row r="44" spans="1:57" ht="14.25" customHeight="1">
      <c r="A44" s="3" t="s">
        <v>130</v>
      </c>
      <c r="B44" s="18" t="s">
        <v>138</v>
      </c>
      <c r="C44" s="13">
        <v>0</v>
      </c>
      <c r="D44" s="13">
        <v>0</v>
      </c>
      <c r="E44" s="13">
        <v>0</v>
      </c>
      <c r="F44" s="13">
        <v>0</v>
      </c>
      <c r="G44" s="13">
        <v>54.6</v>
      </c>
      <c r="H44" s="13">
        <v>0</v>
      </c>
      <c r="I44" s="13">
        <v>0</v>
      </c>
      <c r="J44" s="13">
        <v>0</v>
      </c>
      <c r="K44" s="2">
        <v>0</v>
      </c>
      <c r="L44" s="2">
        <v>7.1</v>
      </c>
      <c r="M44" s="2">
        <v>14.2</v>
      </c>
      <c r="N44" s="2">
        <v>7.1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13">
        <f t="shared" si="10"/>
        <v>28.4</v>
      </c>
      <c r="U44" s="2">
        <f>K44+L44+M44+N44+O44+P44+Q44+R44+S44</f>
        <v>28.4</v>
      </c>
      <c r="V44" s="2">
        <v>1291.63</v>
      </c>
      <c r="W44" s="2">
        <v>84.59</v>
      </c>
      <c r="X44" s="2">
        <v>194.07</v>
      </c>
      <c r="Y44" s="2">
        <v>98.23</v>
      </c>
      <c r="Z44" s="2">
        <v>231.24</v>
      </c>
      <c r="AA44" s="2">
        <v>473.03</v>
      </c>
      <c r="AB44" s="2">
        <v>129.13</v>
      </c>
      <c r="AC44" s="2">
        <v>1195.99</v>
      </c>
      <c r="AD44" s="2">
        <v>0.004</v>
      </c>
      <c r="AE44" s="2">
        <v>829.34</v>
      </c>
      <c r="AF44" s="2">
        <v>346.75</v>
      </c>
      <c r="AG44" s="2">
        <v>282.29</v>
      </c>
      <c r="AH44" s="2">
        <v>171.33</v>
      </c>
      <c r="AI44" s="2">
        <v>125.33</v>
      </c>
      <c r="AJ44" s="2">
        <v>153.32</v>
      </c>
      <c r="AK44" s="2">
        <v>526.16</v>
      </c>
      <c r="AL44" s="2">
        <v>3748.5</v>
      </c>
      <c r="AM44" s="2">
        <v>630.56</v>
      </c>
      <c r="AN44" s="2">
        <v>940.08</v>
      </c>
      <c r="AO44" s="2">
        <v>1123.75</v>
      </c>
      <c r="AP44" s="2">
        <v>2083.89</v>
      </c>
      <c r="AQ44" s="2">
        <v>0.01</v>
      </c>
      <c r="AR44" s="2">
        <v>5814.29</v>
      </c>
      <c r="AS44" s="2">
        <v>3803.7</v>
      </c>
      <c r="AT44" s="2">
        <v>4164.68</v>
      </c>
      <c r="AU44" s="2">
        <v>3368.41</v>
      </c>
      <c r="AV44" s="2">
        <v>426.12</v>
      </c>
      <c r="AW44" s="2">
        <v>0.6</v>
      </c>
      <c r="AX44" s="2">
        <v>0.5</v>
      </c>
      <c r="AY44" s="13">
        <f t="shared" si="13"/>
        <v>32237.523999999998</v>
      </c>
      <c r="AZ44" s="2">
        <v>32237.92</v>
      </c>
      <c r="BA44" s="13">
        <v>0</v>
      </c>
      <c r="BB44" s="13">
        <f>BA44+AY44+T44+J44+I44+H44+G44+F44+E44+D44+C44</f>
        <v>32320.523999999998</v>
      </c>
      <c r="BC44" s="2">
        <v>32320.52</v>
      </c>
      <c r="BD44" s="19"/>
      <c r="BE44" s="20"/>
    </row>
    <row r="45" spans="1:57" ht="31.5">
      <c r="A45" s="3" t="s">
        <v>140</v>
      </c>
      <c r="B45" s="52" t="s">
        <v>139</v>
      </c>
      <c r="C45" s="13">
        <v>34.54</v>
      </c>
      <c r="D45" s="13">
        <v>1.6</v>
      </c>
      <c r="E45" s="13">
        <v>2.67</v>
      </c>
      <c r="F45" s="13">
        <v>204.29</v>
      </c>
      <c r="G45" s="13">
        <v>6.5</v>
      </c>
      <c r="H45" s="13">
        <v>6.8</v>
      </c>
      <c r="I45" s="13">
        <v>9.63</v>
      </c>
      <c r="J45" s="13">
        <v>42.66</v>
      </c>
      <c r="K45" s="2">
        <v>333.25</v>
      </c>
      <c r="L45" s="2">
        <v>980.53</v>
      </c>
      <c r="M45" s="2">
        <v>285.47</v>
      </c>
      <c r="N45" s="2">
        <v>380.73</v>
      </c>
      <c r="O45" s="2">
        <v>39.52</v>
      </c>
      <c r="P45" s="2">
        <v>42.73</v>
      </c>
      <c r="Q45" s="2">
        <v>14.98</v>
      </c>
      <c r="R45" s="2">
        <v>60.22</v>
      </c>
      <c r="S45" s="2">
        <v>109.19</v>
      </c>
      <c r="T45" s="13">
        <f t="shared" si="10"/>
        <v>2246.62</v>
      </c>
      <c r="U45" s="2">
        <v>2246.52</v>
      </c>
      <c r="V45" s="2">
        <v>232.26</v>
      </c>
      <c r="W45" s="2">
        <v>1.4</v>
      </c>
      <c r="X45" s="2">
        <v>67.99</v>
      </c>
      <c r="Y45" s="2">
        <v>30.24</v>
      </c>
      <c r="Z45" s="2">
        <v>120.21</v>
      </c>
      <c r="AA45" s="2">
        <v>255.97</v>
      </c>
      <c r="AB45" s="2">
        <v>32.28</v>
      </c>
      <c r="AC45" s="2">
        <v>161.55</v>
      </c>
      <c r="AD45" s="2">
        <v>1.82</v>
      </c>
      <c r="AE45" s="2">
        <v>211.28</v>
      </c>
      <c r="AF45" s="2">
        <v>320.52</v>
      </c>
      <c r="AG45" s="2">
        <v>3.33</v>
      </c>
      <c r="AH45" s="2">
        <v>123.28</v>
      </c>
      <c r="AI45" s="2">
        <v>17.44</v>
      </c>
      <c r="AJ45" s="2">
        <v>54.61</v>
      </c>
      <c r="AK45" s="2">
        <v>48.16</v>
      </c>
      <c r="AL45" s="2">
        <v>375.49</v>
      </c>
      <c r="AM45" s="2">
        <v>269.8</v>
      </c>
      <c r="AN45" s="2">
        <v>689.79</v>
      </c>
      <c r="AO45" s="2">
        <v>767.22</v>
      </c>
      <c r="AP45" s="2">
        <v>277.24</v>
      </c>
      <c r="AQ45" s="2">
        <v>1.13</v>
      </c>
      <c r="AR45" s="2">
        <v>897.25</v>
      </c>
      <c r="AS45" s="2">
        <v>2635.05</v>
      </c>
      <c r="AT45" s="2">
        <v>1117.01</v>
      </c>
      <c r="AU45" s="2">
        <v>1490.01</v>
      </c>
      <c r="AV45" s="2">
        <v>163.47</v>
      </c>
      <c r="AW45" s="2">
        <v>76.84</v>
      </c>
      <c r="AX45" s="2">
        <v>2.27</v>
      </c>
      <c r="AY45" s="13">
        <f t="shared" si="13"/>
        <v>10444.91</v>
      </c>
      <c r="AZ45" s="2">
        <v>13090.65</v>
      </c>
      <c r="BA45" s="13">
        <v>411.18</v>
      </c>
      <c r="BB45" s="13">
        <f>C45+D45+E45+F45+G45+H45+I45+J45+T45+AY45+BA45</f>
        <v>13411.4</v>
      </c>
      <c r="BC45" s="2"/>
      <c r="BE45" s="20"/>
    </row>
    <row r="46" spans="1:57" ht="30.75" customHeight="1">
      <c r="A46" s="3" t="s">
        <v>141</v>
      </c>
      <c r="B46" s="18" t="s">
        <v>144</v>
      </c>
      <c r="C46" s="13">
        <v>11.22</v>
      </c>
      <c r="D46" s="13">
        <v>28.37</v>
      </c>
      <c r="E46" s="13">
        <v>5.06</v>
      </c>
      <c r="F46" s="13">
        <v>45.07</v>
      </c>
      <c r="G46" s="13">
        <v>91.2</v>
      </c>
      <c r="H46" s="13">
        <v>100</v>
      </c>
      <c r="I46" s="13">
        <v>17.83</v>
      </c>
      <c r="J46" s="13">
        <v>226</v>
      </c>
      <c r="K46" s="2">
        <v>57.42</v>
      </c>
      <c r="L46" s="2">
        <v>64.3</v>
      </c>
      <c r="M46" s="2">
        <v>64.21</v>
      </c>
      <c r="N46" s="2">
        <v>53.23</v>
      </c>
      <c r="O46" s="2">
        <v>13.5</v>
      </c>
      <c r="P46" s="2">
        <v>11.06</v>
      </c>
      <c r="Q46" s="2">
        <v>23.72</v>
      </c>
      <c r="R46" s="2">
        <v>29.53</v>
      </c>
      <c r="S46" s="2">
        <v>14.61</v>
      </c>
      <c r="T46" s="13">
        <f t="shared" si="10"/>
        <v>331.5799999999999</v>
      </c>
      <c r="U46" s="2"/>
      <c r="V46" s="2">
        <v>275.33</v>
      </c>
      <c r="W46" s="2">
        <v>10.44</v>
      </c>
      <c r="X46" s="2">
        <v>73.55</v>
      </c>
      <c r="Y46" s="2">
        <v>20.08</v>
      </c>
      <c r="Z46" s="2">
        <v>125.15</v>
      </c>
      <c r="AA46" s="2">
        <v>310.37</v>
      </c>
      <c r="AB46" s="2">
        <v>31.08</v>
      </c>
      <c r="AC46" s="2">
        <v>170.28</v>
      </c>
      <c r="AD46" s="2">
        <v>1.55</v>
      </c>
      <c r="AE46" s="2">
        <v>220.81</v>
      </c>
      <c r="AF46" s="2">
        <v>400.45</v>
      </c>
      <c r="AG46" s="2">
        <v>2.6</v>
      </c>
      <c r="AH46" s="2">
        <v>138.9</v>
      </c>
      <c r="AI46" s="2">
        <v>25.3</v>
      </c>
      <c r="AJ46" s="2">
        <v>69.62</v>
      </c>
      <c r="AK46" s="2">
        <v>55.01</v>
      </c>
      <c r="AL46" s="2">
        <v>838.25</v>
      </c>
      <c r="AM46" s="2">
        <v>350.46</v>
      </c>
      <c r="AN46" s="2">
        <v>772.04</v>
      </c>
      <c r="AO46" s="2">
        <v>792.06</v>
      </c>
      <c r="AP46" s="2">
        <v>390.55</v>
      </c>
      <c r="AQ46" s="2">
        <v>1.05</v>
      </c>
      <c r="AR46" s="2">
        <v>950.35</v>
      </c>
      <c r="AS46" s="2">
        <v>2728.4</v>
      </c>
      <c r="AT46" s="2">
        <v>1340.56</v>
      </c>
      <c r="AU46" s="2">
        <v>1414.25</v>
      </c>
      <c r="AV46" s="2">
        <v>320.21</v>
      </c>
      <c r="AW46" s="2">
        <v>62.41</v>
      </c>
      <c r="AX46" s="2">
        <v>47.24</v>
      </c>
      <c r="AY46" s="13">
        <f t="shared" si="13"/>
        <v>11938.349999999999</v>
      </c>
      <c r="AZ46" s="2">
        <v>11938.35</v>
      </c>
      <c r="BA46" s="13">
        <v>314.85</v>
      </c>
      <c r="BB46" s="13">
        <f>BA46+AY46+T46+J46+I46+H46+G46+F46+E46+D46+C46</f>
        <v>13109.529999999999</v>
      </c>
      <c r="BC46" s="2"/>
      <c r="BE46" s="20"/>
    </row>
    <row r="47" spans="1:57" ht="30.75" customHeight="1">
      <c r="A47" s="3" t="s">
        <v>142</v>
      </c>
      <c r="B47" s="18" t="s">
        <v>131</v>
      </c>
      <c r="C47" s="13">
        <f>C42*BC47</f>
        <v>5.7771833</v>
      </c>
      <c r="D47" s="13">
        <f>D42*BC47</f>
        <v>4.5680054000000005</v>
      </c>
      <c r="E47" s="13">
        <v>9.57</v>
      </c>
      <c r="F47" s="13">
        <f>F42*BC47</f>
        <v>9.001657699999999</v>
      </c>
      <c r="G47" s="13">
        <f>G42*BC47</f>
        <v>2.0152965</v>
      </c>
      <c r="H47" s="13">
        <v>6.47</v>
      </c>
      <c r="I47" s="13">
        <f>I42*BC47</f>
        <v>6.986361199999999</v>
      </c>
      <c r="J47" s="13">
        <f>J42*BC47</f>
        <v>77.25303249999999</v>
      </c>
      <c r="K47" s="2">
        <v>158.42</v>
      </c>
      <c r="L47" s="2">
        <f>L42*BC47</f>
        <v>204.3510651</v>
      </c>
      <c r="M47" s="2">
        <v>210.51</v>
      </c>
      <c r="N47" s="2">
        <v>202.98</v>
      </c>
      <c r="O47" s="2">
        <v>30.6</v>
      </c>
      <c r="P47" s="2">
        <f>P42*BC47</f>
        <v>5.1054178</v>
      </c>
      <c r="Q47" s="2">
        <v>12.14</v>
      </c>
      <c r="R47" s="2">
        <v>21.98</v>
      </c>
      <c r="S47" s="2">
        <v>100.32</v>
      </c>
      <c r="T47" s="13">
        <f t="shared" si="10"/>
        <v>946.4064829000001</v>
      </c>
      <c r="U47" s="2"/>
      <c r="V47" s="2">
        <f>V42*BC47</f>
        <v>532.038276</v>
      </c>
      <c r="W47" s="2">
        <f>W42*BC47</f>
        <v>56.2939489</v>
      </c>
      <c r="X47" s="2">
        <f>X42*BC47</f>
        <v>87.5982212</v>
      </c>
      <c r="Y47" s="2">
        <f>Y42*BC47</f>
        <v>58.44359849999999</v>
      </c>
      <c r="Z47" s="2">
        <f>Z42*BC47</f>
        <v>32.244744</v>
      </c>
      <c r="AA47" s="2">
        <f>AA42*BC47</f>
        <v>195.2150543</v>
      </c>
      <c r="AB47" s="2">
        <f>AB42*BC47</f>
        <v>112.31919159999998</v>
      </c>
      <c r="AC47" s="2">
        <f>AC42*BC47</f>
        <v>186.07904349999998</v>
      </c>
      <c r="AD47" s="2">
        <f>AD42*BC47</f>
        <v>2.9557682</v>
      </c>
      <c r="AE47" s="2">
        <f>AE42*BC47</f>
        <v>224.77273629999996</v>
      </c>
      <c r="AF47" s="2">
        <f>AF42*BC47</f>
        <v>168.88184669999998</v>
      </c>
      <c r="AG47" s="2">
        <f>AG42*BC47</f>
        <v>122.66438029999999</v>
      </c>
      <c r="AH47" s="2">
        <f>AH42*BC47</f>
        <v>92.83799210000001</v>
      </c>
      <c r="AI47" s="2">
        <f>AI42*BC47</f>
        <v>55.3534772</v>
      </c>
      <c r="AJ47" s="2">
        <f>AJ42*BC47</f>
        <v>36.1409839</v>
      </c>
      <c r="AK47" s="2">
        <f>AK42*BC47</f>
        <v>247.3440571</v>
      </c>
      <c r="AL47" s="2">
        <f>AL42*BC47</f>
        <v>501.00270989999996</v>
      </c>
      <c r="AM47" s="2">
        <f>AM42*BC47</f>
        <v>1.343531</v>
      </c>
      <c r="AN47" s="2">
        <f>AN42*BC47</f>
        <v>571.000675</v>
      </c>
      <c r="AO47" s="2">
        <f>AO42*BC47</f>
        <v>664.3760795</v>
      </c>
      <c r="AP47" s="2">
        <f>AP42*BC47</f>
        <v>1070.9285601</v>
      </c>
      <c r="AQ47" s="2">
        <f>AQ42*BC47</f>
        <v>9.404717</v>
      </c>
      <c r="AR47" s="2">
        <v>2397.83</v>
      </c>
      <c r="AS47" s="2">
        <f>AS42*BC47</f>
        <v>1423.4710945</v>
      </c>
      <c r="AT47" s="2">
        <f>AT42*BC47</f>
        <v>1415.5442615999998</v>
      </c>
      <c r="AU47" s="2">
        <f>AU42*BC47</f>
        <v>1230.5400429000001</v>
      </c>
      <c r="AV47" s="2">
        <f>AV42*BC47</f>
        <v>257.1518334</v>
      </c>
      <c r="AW47" s="2">
        <f>AW42*BC47</f>
        <v>218.0550813</v>
      </c>
      <c r="AX47" s="2">
        <f>AX42*BC47</f>
        <v>178.34030493999998</v>
      </c>
      <c r="AY47" s="13">
        <f t="shared" si="13"/>
        <v>12150.172210940002</v>
      </c>
      <c r="AZ47" s="2"/>
      <c r="BA47" s="13">
        <f>BA42*BC47</f>
        <v>195.2150543</v>
      </c>
      <c r="BB47" s="13">
        <f>C47+D47+E47+F47+G47+H47+I47+J47+K47+L47+M47+N47+O47+P47+Q47+R47+S47+V47+W47+X47+Y47+Z47+AA47+AB47+AC47+AD47+AE47+AF47+AG47+AH47+AI47+AJ47+AK47+AL47+AM47+AN47+AO47+AP47+AQ47+AR47+AS47+AT47+AU47+AV47+AW47+AX47+BA47</f>
        <v>13413.435284740002</v>
      </c>
      <c r="BC47" s="2">
        <v>13435.31</v>
      </c>
      <c r="BE47" s="20"/>
    </row>
    <row r="48" spans="1:57" ht="31.5">
      <c r="A48" s="1">
        <v>16</v>
      </c>
      <c r="B48" s="18" t="s">
        <v>129</v>
      </c>
      <c r="C48" s="13">
        <v>14.93</v>
      </c>
      <c r="D48" s="13">
        <v>57.28</v>
      </c>
      <c r="E48" s="13">
        <v>110.26</v>
      </c>
      <c r="F48" s="13">
        <v>23.19</v>
      </c>
      <c r="G48" s="13">
        <v>7.76</v>
      </c>
      <c r="H48" s="13">
        <v>124.53</v>
      </c>
      <c r="I48" s="13">
        <v>46.6</v>
      </c>
      <c r="J48" s="13">
        <v>198.25</v>
      </c>
      <c r="K48" s="2">
        <v>661.41</v>
      </c>
      <c r="L48" s="2">
        <f>L42*BC48</f>
        <v>643.0024458</v>
      </c>
      <c r="M48" s="2">
        <v>819.01</v>
      </c>
      <c r="N48" s="2">
        <f>N42*BC48</f>
        <v>654.4166904000001</v>
      </c>
      <c r="O48" s="2">
        <v>112</v>
      </c>
      <c r="P48" s="2">
        <f>P42*BC48</f>
        <v>16.064492400000002</v>
      </c>
      <c r="Q48" s="2">
        <v>57</v>
      </c>
      <c r="R48" s="2">
        <v>200.61</v>
      </c>
      <c r="S48" s="2">
        <v>110.07</v>
      </c>
      <c r="T48" s="13">
        <f t="shared" si="10"/>
        <v>3273.5836286000003</v>
      </c>
      <c r="U48" s="2"/>
      <c r="V48" s="2">
        <f>V42*BC48</f>
        <v>1674.0892080000003</v>
      </c>
      <c r="W48" s="2">
        <f>W42*BC48</f>
        <v>177.13216620000003</v>
      </c>
      <c r="X48" s="2">
        <f>X42*BC48</f>
        <v>275.6328696</v>
      </c>
      <c r="Y48" s="2">
        <f>Y42*BC48</f>
        <v>183.896163</v>
      </c>
      <c r="Z48" s="2">
        <f>Z42*BC48</f>
        <v>101.459952</v>
      </c>
      <c r="AA48" s="2">
        <f>AA42*BC48</f>
        <v>614.2554594000001</v>
      </c>
      <c r="AB48" s="2">
        <f>AB42*BC48</f>
        <v>353.4188328</v>
      </c>
      <c r="AC48" s="2">
        <f>AC42*BC48</f>
        <v>585.508473</v>
      </c>
      <c r="AD48" s="2">
        <f>AD42*BC48</f>
        <v>9.300495600000001</v>
      </c>
      <c r="AE48" s="2">
        <f>AE42*BC48</f>
        <v>707.2604153999999</v>
      </c>
      <c r="AF48" s="2">
        <f>AF42*BC48</f>
        <v>531.3964986</v>
      </c>
      <c r="AG48" s="2">
        <f>AG42*BC48</f>
        <v>385.9705674</v>
      </c>
      <c r="AH48" s="2">
        <f>AH42*BC48</f>
        <v>292.1201118</v>
      </c>
      <c r="AI48" s="2">
        <f>AI42*BC48</f>
        <v>174.17291760000003</v>
      </c>
      <c r="AJ48" s="2">
        <f>AJ42*BC48</f>
        <v>113.71969620000002</v>
      </c>
      <c r="AK48" s="2">
        <f>AK42*BC48</f>
        <v>778.2823818</v>
      </c>
      <c r="AL48" s="2">
        <f>AL42*BC48</f>
        <v>1576.4340042</v>
      </c>
      <c r="AM48" s="2">
        <f>AM42*BC48</f>
        <v>4.227498000000001</v>
      </c>
      <c r="AN48" s="2">
        <f>AN42*BC48</f>
        <v>1796.6866500000003</v>
      </c>
      <c r="AO48" s="2">
        <f>AO42*BC48</f>
        <v>2090.497761</v>
      </c>
      <c r="AP48" s="2">
        <f>AP42*BC48</f>
        <v>3369.7386558000003</v>
      </c>
      <c r="AQ48" s="2">
        <f>AQ42*BC48</f>
        <v>29.592486</v>
      </c>
      <c r="AR48" s="2">
        <f>AR42*BC48</f>
        <v>7544.8156806</v>
      </c>
      <c r="AS48" s="2">
        <f>AS42*BC48</f>
        <v>4479.034131</v>
      </c>
      <c r="AT48" s="2">
        <f>AT42*BC48</f>
        <v>4454.0918928</v>
      </c>
      <c r="AU48" s="2">
        <f>AU42*BC48</f>
        <v>3871.9654182000004</v>
      </c>
      <c r="AV48" s="2">
        <f>AV42*BC48</f>
        <v>809.1431172000001</v>
      </c>
      <c r="AW48" s="2">
        <f>AW42*BC48</f>
        <v>686.1229254000001</v>
      </c>
      <c r="AX48" s="2">
        <f>AX42*BC48</f>
        <v>561.15808452</v>
      </c>
      <c r="AY48" s="13">
        <f t="shared" si="13"/>
        <v>38231.12451312</v>
      </c>
      <c r="AZ48" s="2"/>
      <c r="BA48" s="13">
        <f>BA42*BC48</f>
        <v>614.2554594000001</v>
      </c>
      <c r="BB48" s="13">
        <f>C48+D48+E48+F48+G48+H48+I48+J48+K48+L48+M48+N48+O48+P48+Q48+R48+S48+V48+W48+X48+Y48+Z48+AA48+AB48+AC48+AD48+AE48+AF48+AG48+AH48+AI48+AJ48+AK48+AL48+AM48+AN48+AO48+AP48+AQ48+AR48+AS48+AT48+AU48+AV48+AW48+AX48+BA48</f>
        <v>42701.76360112001</v>
      </c>
      <c r="BC48" s="2">
        <v>42274.98</v>
      </c>
      <c r="BE48" s="20"/>
    </row>
    <row r="49" spans="1:57" ht="14.25" customHeight="1">
      <c r="A49" s="3"/>
      <c r="B49" s="4" t="s">
        <v>136</v>
      </c>
      <c r="C49" s="13">
        <v>6.84</v>
      </c>
      <c r="D49" s="13">
        <v>13.68</v>
      </c>
      <c r="E49" s="13">
        <v>29.83</v>
      </c>
      <c r="F49" s="13">
        <v>7.26</v>
      </c>
      <c r="G49" s="13">
        <v>5.01</v>
      </c>
      <c r="H49" s="13">
        <v>25.04</v>
      </c>
      <c r="I49" s="13">
        <v>12.61</v>
      </c>
      <c r="J49" s="13">
        <v>63.44</v>
      </c>
      <c r="K49" s="2">
        <v>101.05</v>
      </c>
      <c r="L49" s="2">
        <v>169.55</v>
      </c>
      <c r="M49" s="2">
        <v>186.68</v>
      </c>
      <c r="N49" s="2">
        <v>149.77</v>
      </c>
      <c r="O49" s="2">
        <v>23.62</v>
      </c>
      <c r="P49" s="2">
        <v>0</v>
      </c>
      <c r="Q49" s="2">
        <v>11.31</v>
      </c>
      <c r="R49" s="2">
        <v>29.75</v>
      </c>
      <c r="S49" s="2">
        <v>8.9</v>
      </c>
      <c r="T49" s="13">
        <f t="shared" si="10"/>
        <v>680.63</v>
      </c>
      <c r="U49" s="2">
        <v>680.63</v>
      </c>
      <c r="V49" s="2">
        <v>366.26</v>
      </c>
      <c r="W49" s="2">
        <v>39.86</v>
      </c>
      <c r="X49" s="2">
        <v>54.56</v>
      </c>
      <c r="Y49" s="2">
        <v>40.19</v>
      </c>
      <c r="Z49" s="2">
        <v>21.38</v>
      </c>
      <c r="AA49" s="2">
        <v>132.87</v>
      </c>
      <c r="AB49" s="2">
        <v>77.48</v>
      </c>
      <c r="AC49" s="2">
        <v>0</v>
      </c>
      <c r="AD49" s="2">
        <v>2.1</v>
      </c>
      <c r="AE49" s="2">
        <v>152.23</v>
      </c>
      <c r="AF49" s="2">
        <v>107.58</v>
      </c>
      <c r="AG49" s="2">
        <v>0</v>
      </c>
      <c r="AH49" s="2">
        <v>62.07</v>
      </c>
      <c r="AI49" s="2">
        <v>37.62</v>
      </c>
      <c r="AJ49" s="2">
        <v>25.39</v>
      </c>
      <c r="AK49" s="2">
        <v>170.28</v>
      </c>
      <c r="AL49" s="2">
        <v>333</v>
      </c>
      <c r="AM49" s="2">
        <v>0</v>
      </c>
      <c r="AN49" s="2">
        <v>365.06</v>
      </c>
      <c r="AO49" s="2">
        <v>455.36</v>
      </c>
      <c r="AP49" s="2">
        <v>733.5</v>
      </c>
      <c r="AQ49" s="2">
        <v>5.39</v>
      </c>
      <c r="AR49" s="2">
        <v>1673.09</v>
      </c>
      <c r="AS49" s="2">
        <v>980.58</v>
      </c>
      <c r="AT49" s="2">
        <v>982.71</v>
      </c>
      <c r="AU49" s="2">
        <v>825.72</v>
      </c>
      <c r="AV49" s="2">
        <v>158.33</v>
      </c>
      <c r="AW49" s="2">
        <v>129.86</v>
      </c>
      <c r="AX49" s="2">
        <v>104.22</v>
      </c>
      <c r="AY49" s="13">
        <f t="shared" si="13"/>
        <v>8036.69</v>
      </c>
      <c r="AZ49" s="2">
        <v>9986.02</v>
      </c>
      <c r="BA49" s="13">
        <v>128.93</v>
      </c>
      <c r="BB49" s="13">
        <f>BA49+AY49+T49+J49+I49+H49+G49+F49+E49+D49+C49</f>
        <v>9009.960000000003</v>
      </c>
      <c r="BC49" s="2"/>
      <c r="BE49" s="20"/>
    </row>
    <row r="50" spans="1:57" ht="23.25" customHeight="1">
      <c r="A50" s="1">
        <v>17</v>
      </c>
      <c r="B50" s="18" t="s">
        <v>10</v>
      </c>
      <c r="C50" s="13">
        <f aca="true" t="shared" si="14" ref="C50:T50">C17</f>
        <v>617.4057670999999</v>
      </c>
      <c r="D50" s="13">
        <f t="shared" si="14"/>
        <v>1343.2080053999998</v>
      </c>
      <c r="E50" s="13">
        <f t="shared" si="14"/>
        <v>2099.8656244000003</v>
      </c>
      <c r="F50" s="13">
        <f t="shared" si="14"/>
        <v>2599.8947999000006</v>
      </c>
      <c r="G50" s="13">
        <f t="shared" si="14"/>
        <v>357.40689549999996</v>
      </c>
      <c r="H50" s="13">
        <f t="shared" si="14"/>
        <v>2704.2191168</v>
      </c>
      <c r="I50" s="13">
        <f t="shared" si="14"/>
        <v>641.2679044</v>
      </c>
      <c r="J50" s="13">
        <f t="shared" si="14"/>
        <v>6111.6943274999985</v>
      </c>
      <c r="K50" s="2">
        <f t="shared" si="14"/>
        <v>12080.637720800001</v>
      </c>
      <c r="L50" s="2">
        <f t="shared" si="14"/>
        <v>14729.0951215</v>
      </c>
      <c r="M50" s="2">
        <f t="shared" si="14"/>
        <v>16316.828485399998</v>
      </c>
      <c r="N50" s="2">
        <f t="shared" si="14"/>
        <v>12064.5701792</v>
      </c>
      <c r="O50" s="2">
        <f t="shared" si="14"/>
        <v>5356.506405000001</v>
      </c>
      <c r="P50" s="2">
        <f t="shared" si="14"/>
        <v>1114.7032250000002</v>
      </c>
      <c r="Q50" s="2">
        <f t="shared" si="14"/>
        <v>2053.0010070000003</v>
      </c>
      <c r="R50" s="2">
        <f t="shared" si="14"/>
        <v>5851.0373708</v>
      </c>
      <c r="S50" s="2">
        <f t="shared" si="14"/>
        <v>1759.2063500000002</v>
      </c>
      <c r="T50" s="2">
        <f t="shared" si="14"/>
        <v>71325.5969927</v>
      </c>
      <c r="U50" s="2"/>
      <c r="V50" s="2">
        <f aca="true" t="shared" si="15" ref="V50:AY50">V17</f>
        <v>37082.62162</v>
      </c>
      <c r="W50" s="2">
        <f t="shared" si="15"/>
        <v>4089.3587805000006</v>
      </c>
      <c r="X50" s="2">
        <f t="shared" si="15"/>
        <v>6876.992594</v>
      </c>
      <c r="Y50" s="2">
        <f t="shared" si="15"/>
        <v>3661.8561324999996</v>
      </c>
      <c r="Z50" s="2">
        <f t="shared" si="15"/>
        <v>4067.9492800000007</v>
      </c>
      <c r="AA50" s="2">
        <f t="shared" si="15"/>
        <v>13304.426403499998</v>
      </c>
      <c r="AB50" s="2">
        <f t="shared" si="15"/>
        <v>7643.716141999999</v>
      </c>
      <c r="AC50" s="2">
        <f t="shared" si="15"/>
        <v>14069.463157499998</v>
      </c>
      <c r="AD50" s="2">
        <f t="shared" si="15"/>
        <v>1104.375409</v>
      </c>
      <c r="AE50" s="2">
        <f t="shared" si="15"/>
        <v>17666.412493500004</v>
      </c>
      <c r="AF50" s="2">
        <f t="shared" si="15"/>
        <v>10499.627341500001</v>
      </c>
      <c r="AG50" s="2">
        <f t="shared" si="15"/>
        <v>8973.3582735</v>
      </c>
      <c r="AH50" s="2">
        <f t="shared" si="15"/>
        <v>6836.942664499999</v>
      </c>
      <c r="AI50" s="2">
        <f t="shared" si="15"/>
        <v>3497.219314</v>
      </c>
      <c r="AJ50" s="2">
        <f t="shared" si="15"/>
        <v>4645.622355499999</v>
      </c>
      <c r="AK50" s="2">
        <f t="shared" si="15"/>
        <v>14686.7536895</v>
      </c>
      <c r="AL50" s="2">
        <f t="shared" si="15"/>
        <v>37555.0852255</v>
      </c>
      <c r="AM50" s="2">
        <f t="shared" si="15"/>
        <v>2734.986095</v>
      </c>
      <c r="AN50" s="2">
        <f t="shared" si="15"/>
        <v>32700.414275000003</v>
      </c>
      <c r="AO50" s="2">
        <f t="shared" si="15"/>
        <v>41618.5938405</v>
      </c>
      <c r="AP50" s="2">
        <f t="shared" si="15"/>
        <v>52599.1929245</v>
      </c>
      <c r="AQ50" s="2">
        <f t="shared" si="15"/>
        <v>1146.0009649999997</v>
      </c>
      <c r="AR50" s="2">
        <f t="shared" si="15"/>
        <v>133019.01056116</v>
      </c>
      <c r="AS50" s="2">
        <f t="shared" si="15"/>
        <v>78619.92827702</v>
      </c>
      <c r="AT50" s="2">
        <f t="shared" si="15"/>
        <v>79239.23065871999</v>
      </c>
      <c r="AU50" s="2">
        <f t="shared" si="15"/>
        <v>67050.78203206001</v>
      </c>
      <c r="AV50" s="2">
        <f t="shared" si="15"/>
        <v>18528.33303044</v>
      </c>
      <c r="AW50" s="2">
        <f t="shared" si="15"/>
        <v>13620.525018500002</v>
      </c>
      <c r="AX50" s="2">
        <f t="shared" si="15"/>
        <v>9445.239285740003</v>
      </c>
      <c r="AY50" s="13">
        <f t="shared" si="15"/>
        <v>726583.8831769</v>
      </c>
      <c r="AZ50" s="2"/>
      <c r="BA50" s="13">
        <f>BA17</f>
        <v>17376.249403499995</v>
      </c>
      <c r="BB50" s="13">
        <f>BB17</f>
        <v>831760.6920141</v>
      </c>
      <c r="BC50" s="2"/>
      <c r="BE50" s="20"/>
    </row>
    <row r="51" spans="1:57" ht="15.75" hidden="1">
      <c r="A51" s="1">
        <v>11</v>
      </c>
      <c r="B51" s="18" t="s">
        <v>32</v>
      </c>
      <c r="C51" s="2" t="e">
        <f>#REF!-C50</f>
        <v>#REF!</v>
      </c>
      <c r="D51" s="2" t="e">
        <f>#REF!-D50</f>
        <v>#REF!</v>
      </c>
      <c r="E51" s="2" t="e">
        <f>#REF!-E50</f>
        <v>#REF!</v>
      </c>
      <c r="F51" s="2" t="e">
        <f>#REF!-F50</f>
        <v>#REF!</v>
      </c>
      <c r="G51" s="2" t="e">
        <f>#REF!-G50</f>
        <v>#REF!</v>
      </c>
      <c r="H51" s="2" t="e">
        <f>#REF!-H50</f>
        <v>#REF!</v>
      </c>
      <c r="I51" s="2" t="e">
        <f>#REF!-I50</f>
        <v>#REF!</v>
      </c>
      <c r="J51" s="2" t="e">
        <f>#REF!-J50</f>
        <v>#REF!</v>
      </c>
      <c r="K51" s="2"/>
      <c r="L51" s="2"/>
      <c r="M51" s="2"/>
      <c r="N51" s="2"/>
      <c r="O51" s="2"/>
      <c r="P51" s="2"/>
      <c r="Q51" s="2"/>
      <c r="R51" s="2"/>
      <c r="S51" s="2"/>
      <c r="T51" s="2" t="e">
        <f>#REF!-T50</f>
        <v>#REF!</v>
      </c>
      <c r="U51" s="2" t="e">
        <f>T51/#REF!</f>
        <v>#REF!</v>
      </c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 t="e">
        <f>#REF!-AY50</f>
        <v>#REF!</v>
      </c>
      <c r="AZ51" s="2"/>
      <c r="BA51" s="2" t="e">
        <f>#REF!-BA50</f>
        <v>#REF!</v>
      </c>
      <c r="BB51" s="2" t="e">
        <f>#REF!+BB63-BB50</f>
        <v>#REF!</v>
      </c>
      <c r="BC51" s="2"/>
      <c r="BE51" s="20"/>
    </row>
    <row r="52" spans="1:57" ht="15.75" hidden="1">
      <c r="A52" s="1"/>
      <c r="B52" s="18"/>
      <c r="C52" s="2" t="e">
        <f aca="true" t="shared" si="16" ref="C52:J52">C74</f>
        <v>#REF!</v>
      </c>
      <c r="D52" s="2" t="e">
        <f t="shared" si="16"/>
        <v>#REF!</v>
      </c>
      <c r="E52" s="2" t="e">
        <f t="shared" si="16"/>
        <v>#REF!</v>
      </c>
      <c r="F52" s="2" t="e">
        <f t="shared" si="16"/>
        <v>#REF!</v>
      </c>
      <c r="G52" s="2" t="e">
        <f t="shared" si="16"/>
        <v>#REF!</v>
      </c>
      <c r="H52" s="2" t="e">
        <f t="shared" si="16"/>
        <v>#REF!</v>
      </c>
      <c r="I52" s="2" t="e">
        <f t="shared" si="16"/>
        <v>#REF!</v>
      </c>
      <c r="J52" s="2" t="e">
        <f t="shared" si="16"/>
        <v>#REF!</v>
      </c>
      <c r="K52" s="2"/>
      <c r="L52" s="2"/>
      <c r="M52" s="2"/>
      <c r="N52" s="2"/>
      <c r="O52" s="2"/>
      <c r="P52" s="2"/>
      <c r="Q52" s="2"/>
      <c r="R52" s="2"/>
      <c r="S52" s="2"/>
      <c r="T52" s="2" t="e">
        <f>T74</f>
        <v>#REF!</v>
      </c>
      <c r="U52" s="2" t="e">
        <f>T52/#REF!</f>
        <v>#REF!</v>
      </c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 t="e">
        <f>AY74</f>
        <v>#REF!</v>
      </c>
      <c r="AZ52" s="2"/>
      <c r="BA52" s="2" t="e">
        <f>BA74</f>
        <v>#REF!</v>
      </c>
      <c r="BB52" s="2" t="e">
        <f>BB74</f>
        <v>#REF!</v>
      </c>
      <c r="BC52" s="2"/>
      <c r="BE52" s="20"/>
    </row>
    <row r="53" spans="1:57" ht="31.5" hidden="1">
      <c r="A53" s="1"/>
      <c r="B53" s="24" t="s">
        <v>35</v>
      </c>
      <c r="C53" s="2" t="e">
        <f aca="true" t="shared" si="17" ref="C53:J53">-C51</f>
        <v>#REF!</v>
      </c>
      <c r="D53" s="2" t="e">
        <f t="shared" si="17"/>
        <v>#REF!</v>
      </c>
      <c r="E53" s="2" t="e">
        <f t="shared" si="17"/>
        <v>#REF!</v>
      </c>
      <c r="F53" s="2" t="e">
        <f t="shared" si="17"/>
        <v>#REF!</v>
      </c>
      <c r="G53" s="2" t="e">
        <f t="shared" si="17"/>
        <v>#REF!</v>
      </c>
      <c r="H53" s="2" t="e">
        <f t="shared" si="17"/>
        <v>#REF!</v>
      </c>
      <c r="I53" s="2" t="e">
        <f t="shared" si="17"/>
        <v>#REF!</v>
      </c>
      <c r="J53" s="2" t="e">
        <f t="shared" si="17"/>
        <v>#REF!</v>
      </c>
      <c r="K53" s="2"/>
      <c r="L53" s="2"/>
      <c r="M53" s="2"/>
      <c r="N53" s="2"/>
      <c r="O53" s="2"/>
      <c r="P53" s="2"/>
      <c r="Q53" s="2"/>
      <c r="R53" s="2"/>
      <c r="S53" s="2"/>
      <c r="T53" s="2" t="e">
        <f>-T51</f>
        <v>#REF!</v>
      </c>
      <c r="U53" s="2" t="e">
        <f>T53/#REF!</f>
        <v>#REF!</v>
      </c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 t="e">
        <f>-AY51</f>
        <v>#REF!</v>
      </c>
      <c r="AZ53" s="2"/>
      <c r="BA53" s="2" t="e">
        <f>-BA51</f>
        <v>#REF!</v>
      </c>
      <c r="BB53" s="2" t="e">
        <f>-BB51</f>
        <v>#REF!</v>
      </c>
      <c r="BC53" s="2"/>
      <c r="BE53" s="20"/>
    </row>
    <row r="54" spans="1:57" ht="49.5" customHeight="1" hidden="1">
      <c r="A54" s="1">
        <v>14</v>
      </c>
      <c r="B54" s="25" t="s">
        <v>38</v>
      </c>
      <c r="C54" s="2">
        <f aca="true" t="shared" si="18" ref="C54:J54">C66-C69</f>
        <v>2.1599999999999997</v>
      </c>
      <c r="D54" s="2">
        <f t="shared" si="18"/>
        <v>7.99</v>
      </c>
      <c r="E54" s="2">
        <f t="shared" si="18"/>
        <v>15.910000000000002</v>
      </c>
      <c r="F54" s="2">
        <f t="shared" si="18"/>
        <v>3.36</v>
      </c>
      <c r="G54" s="2">
        <f t="shared" si="18"/>
        <v>0.8600000000000001</v>
      </c>
      <c r="H54" s="2">
        <f t="shared" si="18"/>
        <v>14.37</v>
      </c>
      <c r="I54" s="2">
        <f t="shared" si="18"/>
        <v>6.71</v>
      </c>
      <c r="J54" s="2">
        <f t="shared" si="18"/>
        <v>28.68</v>
      </c>
      <c r="K54" s="2"/>
      <c r="L54" s="2"/>
      <c r="M54" s="2"/>
      <c r="N54" s="2"/>
      <c r="O54" s="2"/>
      <c r="P54" s="2"/>
      <c r="Q54" s="2"/>
      <c r="R54" s="2"/>
      <c r="S54" s="2"/>
      <c r="T54" s="2">
        <f>T66-T69</f>
        <v>303.67</v>
      </c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>
        <f>AY66-AY69</f>
        <v>3715.67</v>
      </c>
      <c r="AZ54" s="2"/>
      <c r="BA54" s="2">
        <f>BA66-BA69</f>
        <v>58.62</v>
      </c>
      <c r="BB54" s="2">
        <f>BB66-BB69</f>
        <v>4158</v>
      </c>
      <c r="BC54" s="2"/>
      <c r="BE54" s="20"/>
    </row>
    <row r="55" spans="1:57" ht="23.25" customHeight="1" hidden="1">
      <c r="A55" s="1">
        <v>15</v>
      </c>
      <c r="B55" s="25" t="s">
        <v>33</v>
      </c>
      <c r="C55" s="2">
        <f aca="true" t="shared" si="19" ref="C55:J56">C67</f>
        <v>27.39</v>
      </c>
      <c r="D55" s="2">
        <f t="shared" si="19"/>
        <v>101.3</v>
      </c>
      <c r="E55" s="2">
        <f t="shared" si="19"/>
        <v>201.66</v>
      </c>
      <c r="F55" s="2">
        <f t="shared" si="19"/>
        <v>42.53</v>
      </c>
      <c r="G55" s="2">
        <f t="shared" si="19"/>
        <v>10.88</v>
      </c>
      <c r="H55" s="2">
        <f t="shared" si="19"/>
        <v>182.19</v>
      </c>
      <c r="I55" s="2">
        <f t="shared" si="19"/>
        <v>84.98</v>
      </c>
      <c r="J55" s="2">
        <f t="shared" si="19"/>
        <v>363.56</v>
      </c>
      <c r="K55" s="2"/>
      <c r="L55" s="2"/>
      <c r="M55" s="2"/>
      <c r="N55" s="2"/>
      <c r="O55" s="2"/>
      <c r="P55" s="2"/>
      <c r="Q55" s="2"/>
      <c r="R55" s="2"/>
      <c r="S55" s="2"/>
      <c r="T55" s="2">
        <f>T67</f>
        <v>3848.88</v>
      </c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>
        <f>AY67</f>
        <v>47095.53</v>
      </c>
      <c r="AZ55" s="2"/>
      <c r="BA55" s="2">
        <f>BA67</f>
        <v>743.09</v>
      </c>
      <c r="BB55" s="2">
        <f>BB67</f>
        <v>52701.99</v>
      </c>
      <c r="BC55" s="2"/>
      <c r="BE55" s="20"/>
    </row>
    <row r="56" spans="1:57" ht="48.75" customHeight="1" hidden="1">
      <c r="A56" s="1">
        <v>16</v>
      </c>
      <c r="B56" s="25" t="s">
        <v>37</v>
      </c>
      <c r="C56" s="2">
        <f t="shared" si="19"/>
        <v>0.97</v>
      </c>
      <c r="D56" s="2">
        <f t="shared" si="19"/>
        <v>3.57</v>
      </c>
      <c r="E56" s="2">
        <f t="shared" si="19"/>
        <v>7.11</v>
      </c>
      <c r="F56" s="2">
        <f t="shared" si="19"/>
        <v>1.5</v>
      </c>
      <c r="G56" s="2">
        <f t="shared" si="19"/>
        <v>0.38</v>
      </c>
      <c r="H56" s="2">
        <f t="shared" si="19"/>
        <v>6.42</v>
      </c>
      <c r="I56" s="2">
        <f t="shared" si="19"/>
        <v>2.99</v>
      </c>
      <c r="J56" s="2">
        <f t="shared" si="19"/>
        <v>12.81</v>
      </c>
      <c r="K56" s="2"/>
      <c r="L56" s="2"/>
      <c r="M56" s="2"/>
      <c r="N56" s="2"/>
      <c r="O56" s="2"/>
      <c r="P56" s="2"/>
      <c r="Q56" s="2"/>
      <c r="R56" s="2"/>
      <c r="S56" s="2"/>
      <c r="T56" s="2">
        <f>T68</f>
        <v>135.62</v>
      </c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>
        <f>AY68</f>
        <v>1659.45</v>
      </c>
      <c r="AZ56" s="2"/>
      <c r="BA56" s="2">
        <f>BA68</f>
        <v>26.18</v>
      </c>
      <c r="BB56" s="2">
        <f>BB68</f>
        <v>1857.0000000000002</v>
      </c>
      <c r="BC56" s="2"/>
      <c r="BE56" s="20"/>
    </row>
    <row r="57" spans="1:57" ht="15.75" hidden="1">
      <c r="A57" s="1"/>
      <c r="B57" s="25" t="s">
        <v>36</v>
      </c>
      <c r="C57" s="2">
        <f aca="true" t="shared" si="20" ref="C57:J57">C70</f>
        <v>1.79</v>
      </c>
      <c r="D57" s="2">
        <f t="shared" si="20"/>
        <v>6.61</v>
      </c>
      <c r="E57" s="2">
        <f t="shared" si="20"/>
        <v>13.15</v>
      </c>
      <c r="F57" s="2">
        <f t="shared" si="20"/>
        <v>2.77</v>
      </c>
      <c r="G57" s="2">
        <f t="shared" si="20"/>
        <v>0.71</v>
      </c>
      <c r="H57" s="2">
        <f t="shared" si="20"/>
        <v>11.88</v>
      </c>
      <c r="I57" s="2">
        <f t="shared" si="20"/>
        <v>5.54</v>
      </c>
      <c r="J57" s="2">
        <f t="shared" si="20"/>
        <v>23.71</v>
      </c>
      <c r="K57" s="2"/>
      <c r="L57" s="2"/>
      <c r="M57" s="2"/>
      <c r="N57" s="2"/>
      <c r="O57" s="2"/>
      <c r="P57" s="2"/>
      <c r="Q57" s="2"/>
      <c r="R57" s="2"/>
      <c r="S57" s="2"/>
      <c r="T57" s="2">
        <f>T70</f>
        <v>251.01</v>
      </c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>
        <f>AY70+AY63</f>
        <v>3895.94</v>
      </c>
      <c r="AZ57" s="2"/>
      <c r="BA57" s="2">
        <f>BA70</f>
        <v>48.46</v>
      </c>
      <c r="BB57" s="2">
        <f>BB70+BB63</f>
        <v>4261.57</v>
      </c>
      <c r="BC57" s="2"/>
      <c r="BE57" s="20"/>
    </row>
    <row r="58" spans="1:57" ht="20.25" customHeight="1" hidden="1">
      <c r="A58" s="1"/>
      <c r="B58" s="25" t="s">
        <v>34</v>
      </c>
      <c r="C58" s="2">
        <f aca="true" t="shared" si="21" ref="C58:J58">-C73</f>
        <v>-8.7</v>
      </c>
      <c r="D58" s="2">
        <f t="shared" si="21"/>
        <v>-32.18</v>
      </c>
      <c r="E58" s="2">
        <f t="shared" si="21"/>
        <v>-64.06</v>
      </c>
      <c r="F58" s="2">
        <f t="shared" si="21"/>
        <v>-13.51</v>
      </c>
      <c r="G58" s="2">
        <f t="shared" si="21"/>
        <v>-3.46</v>
      </c>
      <c r="H58" s="2">
        <f t="shared" si="21"/>
        <v>-57.87</v>
      </c>
      <c r="I58" s="2">
        <f t="shared" si="21"/>
        <v>-26.99</v>
      </c>
      <c r="J58" s="2">
        <f t="shared" si="21"/>
        <v>-115.49</v>
      </c>
      <c r="K58" s="2"/>
      <c r="L58" s="2"/>
      <c r="M58" s="2"/>
      <c r="N58" s="2"/>
      <c r="O58" s="2"/>
      <c r="P58" s="2"/>
      <c r="Q58" s="2"/>
      <c r="R58" s="2"/>
      <c r="S58" s="2"/>
      <c r="T58" s="2">
        <f>-T73</f>
        <v>-1222.61</v>
      </c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7">
        <f>-AY73</f>
        <v>-14948.08</v>
      </c>
      <c r="AZ58" s="2"/>
      <c r="BA58" s="2">
        <f>-BA73</f>
        <v>-236.05</v>
      </c>
      <c r="BB58" s="2">
        <f>-BB73</f>
        <v>-16729</v>
      </c>
      <c r="BC58" s="2"/>
      <c r="BE58" s="20"/>
    </row>
    <row r="59" spans="1:57" ht="15.75">
      <c r="A59" s="1">
        <v>18</v>
      </c>
      <c r="B59" s="25" t="s">
        <v>32</v>
      </c>
      <c r="C59" s="61">
        <f>C5-C50</f>
        <v>-203.95576709999995</v>
      </c>
      <c r="D59" s="61">
        <f>D5-D17</f>
        <v>242.3909946000001</v>
      </c>
      <c r="E59" s="61">
        <f>E5-E50</f>
        <v>952.4913755999996</v>
      </c>
      <c r="F59" s="61">
        <f>F5-F17</f>
        <v>-1957.9427999000006</v>
      </c>
      <c r="G59" s="61">
        <f>G5-G17</f>
        <v>-213.05989549999995</v>
      </c>
      <c r="H59" s="61">
        <f>H5-H50</f>
        <v>189.63088319999997</v>
      </c>
      <c r="I59" s="61">
        <f>I5-I50</f>
        <v>644.9620956</v>
      </c>
      <c r="J59" s="61">
        <f>J5-J50</f>
        <v>-623.5323274999982</v>
      </c>
      <c r="K59" s="61">
        <f>K5-K17</f>
        <v>-1241.3477208000004</v>
      </c>
      <c r="L59" s="61">
        <f>L5-L17</f>
        <v>-2312.8521215</v>
      </c>
      <c r="M59" s="61">
        <f>M5-M17</f>
        <v>-485.37048539999705</v>
      </c>
      <c r="N59" s="61">
        <f>N5-N17</f>
        <v>574.3398207999999</v>
      </c>
      <c r="O59" s="61">
        <f>O5-O50</f>
        <v>-3193.206405000001</v>
      </c>
      <c r="P59" s="61">
        <f>P5-P17</f>
        <v>-805.6032250000002</v>
      </c>
      <c r="Q59" s="61">
        <f>Q5-Q17</f>
        <v>-952.4810070000003</v>
      </c>
      <c r="R59" s="61">
        <f>R5-R17</f>
        <v>-3175.7873707999997</v>
      </c>
      <c r="S59" s="61">
        <f>S5-S17</f>
        <v>-971.2363500000001</v>
      </c>
      <c r="T59" s="61">
        <f>T5-T17</f>
        <v>-12563.556992699996</v>
      </c>
      <c r="U59" s="61"/>
      <c r="V59" s="61">
        <f>V5-V50</f>
        <v>-5883.5216199999995</v>
      </c>
      <c r="W59" s="61">
        <f aca="true" t="shared" si="22" ref="W59:AY59">W5-W17</f>
        <v>-784.6287805000006</v>
      </c>
      <c r="X59" s="61">
        <f t="shared" si="22"/>
        <v>-1742.9525940000003</v>
      </c>
      <c r="Y59" s="61">
        <f t="shared" si="22"/>
        <v>-238.46613249999973</v>
      </c>
      <c r="Z59" s="61">
        <f t="shared" si="22"/>
        <v>-2177.6592800000008</v>
      </c>
      <c r="AA59" s="61">
        <f t="shared" si="22"/>
        <v>-1859.0664034999973</v>
      </c>
      <c r="AB59" s="61">
        <f t="shared" si="22"/>
        <v>-1057.156141999999</v>
      </c>
      <c r="AC59" s="61">
        <f t="shared" si="22"/>
        <v>-3154.273157499998</v>
      </c>
      <c r="AD59" s="61">
        <f t="shared" si="22"/>
        <v>-930.765409</v>
      </c>
      <c r="AE59" s="61">
        <f t="shared" si="22"/>
        <v>-4485.652493500003</v>
      </c>
      <c r="AF59" s="61">
        <f t="shared" si="22"/>
        <v>-593.8773415000014</v>
      </c>
      <c r="AG59" s="61">
        <f t="shared" si="22"/>
        <v>-1777.9982735000003</v>
      </c>
      <c r="AH59" s="61">
        <f t="shared" si="22"/>
        <v>-1395.0126644999991</v>
      </c>
      <c r="AI59" s="61">
        <f t="shared" si="22"/>
        <v>-250.3793139999998</v>
      </c>
      <c r="AJ59" s="61">
        <f t="shared" si="22"/>
        <v>-2524.402355499999</v>
      </c>
      <c r="AK59" s="61">
        <f t="shared" si="22"/>
        <v>-181.79368950000026</v>
      </c>
      <c r="AL59" s="61">
        <f t="shared" si="22"/>
        <v>-8175.905225499999</v>
      </c>
      <c r="AM59" s="61">
        <f t="shared" si="22"/>
        <v>-2655.086095</v>
      </c>
      <c r="AN59" s="61">
        <f t="shared" si="22"/>
        <v>781.2057249999998</v>
      </c>
      <c r="AO59" s="61">
        <f t="shared" si="22"/>
        <v>-2659.833840499996</v>
      </c>
      <c r="AP59" s="61">
        <f t="shared" si="22"/>
        <v>10199.6270755</v>
      </c>
      <c r="AQ59" s="61">
        <f t="shared" si="22"/>
        <v>-594.1509649999997</v>
      </c>
      <c r="AR59" s="61">
        <f t="shared" si="22"/>
        <v>7582.889438840008</v>
      </c>
      <c r="AS59" s="61">
        <f t="shared" si="22"/>
        <v>4848.321722980007</v>
      </c>
      <c r="AT59" s="61">
        <f t="shared" si="22"/>
        <v>3767.9493412800075</v>
      </c>
      <c r="AU59" s="61">
        <f t="shared" si="22"/>
        <v>5102.657967939987</v>
      </c>
      <c r="AV59" s="61">
        <f t="shared" si="22"/>
        <v>-3452.6130304399994</v>
      </c>
      <c r="AW59" s="61">
        <f t="shared" si="22"/>
        <v>-831.8150185000031</v>
      </c>
      <c r="AX59" s="61">
        <f t="shared" si="22"/>
        <v>1382.5507142599981</v>
      </c>
      <c r="AY59" s="61">
        <f t="shared" si="22"/>
        <v>-13741.643176899874</v>
      </c>
      <c r="AZ59" s="61"/>
      <c r="BA59" s="61">
        <f>BA5-BA50</f>
        <v>-6132.983403499995</v>
      </c>
      <c r="BB59" s="56">
        <f>BB5-BB17</f>
        <v>-33407.19901410001</v>
      </c>
      <c r="BC59" s="2"/>
      <c r="BE59" s="20"/>
    </row>
    <row r="60" spans="1:57" ht="26.25" customHeight="1">
      <c r="A60" s="1">
        <v>19</v>
      </c>
      <c r="B60" s="1" t="s">
        <v>18</v>
      </c>
      <c r="C60" s="13">
        <f>C50/C6*1000</f>
        <v>2197.556752245053</v>
      </c>
      <c r="D60" s="13">
        <f>D50/D6*1000</f>
        <v>6163.483712201164</v>
      </c>
      <c r="E60" s="13">
        <f>E50/E6*1000</f>
        <v>9445.069467983665</v>
      </c>
      <c r="F60" s="13">
        <f>F50/F6</f>
        <v>5.959999449594705</v>
      </c>
      <c r="G60" s="13">
        <f aca="true" t="shared" si="23" ref="G60:T60">G50/G6*1000</f>
        <v>3643.737210464073</v>
      </c>
      <c r="H60" s="13">
        <f t="shared" si="23"/>
        <v>8717.719381814197</v>
      </c>
      <c r="I60" s="13">
        <f t="shared" si="23"/>
        <v>1910.4629504172365</v>
      </c>
      <c r="J60" s="13">
        <f t="shared" si="23"/>
        <v>1638.8055769101336</v>
      </c>
      <c r="K60" s="13">
        <f t="shared" si="23"/>
        <v>1401.8580276852347</v>
      </c>
      <c r="L60" s="13">
        <f t="shared" si="23"/>
        <v>1492.110134572695</v>
      </c>
      <c r="M60" s="13">
        <f t="shared" si="23"/>
        <v>1296.3726834076374</v>
      </c>
      <c r="N60" s="13">
        <f t="shared" si="23"/>
        <v>1200.6523440972276</v>
      </c>
      <c r="O60" s="13">
        <f t="shared" si="23"/>
        <v>3114.443467961942</v>
      </c>
      <c r="P60" s="13">
        <f t="shared" si="23"/>
        <v>4536.052807201019</v>
      </c>
      <c r="Q60" s="13">
        <f t="shared" si="23"/>
        <v>2346.428991698926</v>
      </c>
      <c r="R60" s="13">
        <f t="shared" si="23"/>
        <v>2750.955432925966</v>
      </c>
      <c r="S60" s="13">
        <f t="shared" si="23"/>
        <v>2808.1702742393772</v>
      </c>
      <c r="T60" s="13">
        <f t="shared" si="23"/>
        <v>1526.7350745145366</v>
      </c>
      <c r="U60" s="13"/>
      <c r="V60" s="13">
        <f aca="true" t="shared" si="24" ref="V60:AY60">V50/V6*1000</f>
        <v>1442.5910223030278</v>
      </c>
      <c r="W60" s="13">
        <f t="shared" si="24"/>
        <v>1501.8742511946182</v>
      </c>
      <c r="X60" s="13">
        <f t="shared" si="24"/>
        <v>1625.7531188276223</v>
      </c>
      <c r="Y60" s="13">
        <f t="shared" si="24"/>
        <v>1298.2561602228748</v>
      </c>
      <c r="Z60" s="13">
        <f t="shared" si="24"/>
        <v>2611.9309717364745</v>
      </c>
      <c r="AA60" s="13">
        <f t="shared" si="24"/>
        <v>1410.8536815907944</v>
      </c>
      <c r="AB60" s="13">
        <f t="shared" si="24"/>
        <v>1408.5136316161504</v>
      </c>
      <c r="AC60" s="13">
        <f t="shared" si="24"/>
        <v>1564.4487590123247</v>
      </c>
      <c r="AD60" s="13">
        <f t="shared" si="24"/>
        <v>7720.745309004475</v>
      </c>
      <c r="AE60" s="13">
        <f t="shared" si="24"/>
        <v>1626.75736001659</v>
      </c>
      <c r="AF60" s="13">
        <f t="shared" si="24"/>
        <v>1286.475457955571</v>
      </c>
      <c r="AG60" s="13">
        <f t="shared" si="24"/>
        <v>1513.6209947700943</v>
      </c>
      <c r="AH60" s="13">
        <f t="shared" si="24"/>
        <v>1524.837794103019</v>
      </c>
      <c r="AI60" s="13">
        <f t="shared" si="24"/>
        <v>1307.3032865569653</v>
      </c>
      <c r="AJ60" s="13">
        <f t="shared" si="24"/>
        <v>2658.1120809170825</v>
      </c>
      <c r="AK60" s="13">
        <f t="shared" si="24"/>
        <v>1228.9218165604907</v>
      </c>
      <c r="AL60" s="13">
        <f t="shared" si="24"/>
        <v>1551.472529186972</v>
      </c>
      <c r="AM60" s="13">
        <f t="shared" si="24"/>
        <v>41544.93399866327</v>
      </c>
      <c r="AN60" s="13">
        <f t="shared" si="24"/>
        <v>1185.391259166094</v>
      </c>
      <c r="AO60" s="13">
        <f t="shared" si="24"/>
        <v>1296.5740359753818</v>
      </c>
      <c r="AP60" s="13">
        <f t="shared" si="24"/>
        <v>1016.5823146384456</v>
      </c>
      <c r="AQ60" s="13">
        <f t="shared" si="24"/>
        <v>2520.4449813276083</v>
      </c>
      <c r="AR60" s="13">
        <f t="shared" si="24"/>
        <v>1148.2526434363983</v>
      </c>
      <c r="AS60" s="13">
        <f t="shared" si="24"/>
        <v>1143.2106006549138</v>
      </c>
      <c r="AT60" s="13">
        <f t="shared" si="24"/>
        <v>1158.6160080252337</v>
      </c>
      <c r="AU60" s="13">
        <f t="shared" si="24"/>
        <v>1127.877096507474</v>
      </c>
      <c r="AV60" s="13">
        <f t="shared" si="24"/>
        <v>1491.6720523937172</v>
      </c>
      <c r="AW60" s="13">
        <f t="shared" si="24"/>
        <v>1292.6534293902946</v>
      </c>
      <c r="AX60" s="13">
        <f t="shared" si="24"/>
        <v>1058.736742809712</v>
      </c>
      <c r="AY60" s="13">
        <f t="shared" si="24"/>
        <v>1237.1070940304503</v>
      </c>
      <c r="AZ60" s="13"/>
      <c r="BA60" s="13">
        <f>BA50/BA6*1000</f>
        <v>1842.3519638536914</v>
      </c>
      <c r="BB60" s="13">
        <f>BB50/BB6*1000</f>
        <v>1281.3962376319123</v>
      </c>
      <c r="BC60" s="13"/>
      <c r="BE60" s="20"/>
    </row>
    <row r="61" spans="1:57" ht="15.75">
      <c r="A61" s="1">
        <v>20</v>
      </c>
      <c r="B61" s="1" t="s">
        <v>19</v>
      </c>
      <c r="C61" s="13">
        <v>1471.61</v>
      </c>
      <c r="D61" s="13">
        <v>7275.73</v>
      </c>
      <c r="E61" s="13">
        <v>13729.32</v>
      </c>
      <c r="F61" s="13">
        <v>1471.61</v>
      </c>
      <c r="G61" s="13">
        <v>1471.61</v>
      </c>
      <c r="H61" s="13">
        <v>9127.32</v>
      </c>
      <c r="I61" s="13">
        <v>3832.03</v>
      </c>
      <c r="J61" s="13">
        <v>1471.61</v>
      </c>
      <c r="K61" s="13">
        <v>1257.81</v>
      </c>
      <c r="L61" s="13">
        <v>1257.81</v>
      </c>
      <c r="M61" s="13">
        <v>1257.81</v>
      </c>
      <c r="N61" s="13">
        <v>1257.81</v>
      </c>
      <c r="O61" s="13">
        <v>1257.81</v>
      </c>
      <c r="P61" s="13">
        <v>1257.81</v>
      </c>
      <c r="Q61" s="13">
        <v>1257.81</v>
      </c>
      <c r="R61" s="13">
        <v>1257.81</v>
      </c>
      <c r="S61" s="13">
        <v>1257.81</v>
      </c>
      <c r="T61" s="13">
        <v>1257.81</v>
      </c>
      <c r="U61" s="13"/>
      <c r="V61" s="13">
        <v>1213.71</v>
      </c>
      <c r="W61" s="13">
        <v>1213.71</v>
      </c>
      <c r="X61" s="13">
        <v>1213.71</v>
      </c>
      <c r="Y61" s="13">
        <v>1213.71</v>
      </c>
      <c r="Z61" s="13">
        <v>1213.71</v>
      </c>
      <c r="AA61" s="13">
        <v>1213.71</v>
      </c>
      <c r="AB61" s="13">
        <v>1213.71</v>
      </c>
      <c r="AC61" s="13">
        <v>1213.71</v>
      </c>
      <c r="AD61" s="13">
        <v>1213.71</v>
      </c>
      <c r="AE61" s="13">
        <v>1213.71</v>
      </c>
      <c r="AF61" s="13">
        <v>1213.71</v>
      </c>
      <c r="AG61" s="13">
        <v>1213.71</v>
      </c>
      <c r="AH61" s="13">
        <v>1213.71</v>
      </c>
      <c r="AI61" s="13">
        <v>1213.71</v>
      </c>
      <c r="AJ61" s="13">
        <v>1213.71</v>
      </c>
      <c r="AK61" s="13">
        <v>1213.71</v>
      </c>
      <c r="AL61" s="13">
        <v>1213.71</v>
      </c>
      <c r="AM61" s="13">
        <v>1213.71</v>
      </c>
      <c r="AN61" s="13">
        <v>1213.71</v>
      </c>
      <c r="AO61" s="13">
        <v>1213.71</v>
      </c>
      <c r="AP61" s="13">
        <v>1213.71</v>
      </c>
      <c r="AQ61" s="13">
        <v>1213.71</v>
      </c>
      <c r="AR61" s="13">
        <v>1213.71</v>
      </c>
      <c r="AS61" s="13">
        <v>1213.71</v>
      </c>
      <c r="AT61" s="13">
        <v>1213.71</v>
      </c>
      <c r="AU61" s="13">
        <v>1213.71</v>
      </c>
      <c r="AV61" s="13">
        <v>1213.71</v>
      </c>
      <c r="AW61" s="13">
        <v>1213.71</v>
      </c>
      <c r="AX61" s="13">
        <v>1213.71</v>
      </c>
      <c r="AY61" s="13">
        <v>1213.71</v>
      </c>
      <c r="AZ61" s="13"/>
      <c r="BA61" s="13">
        <v>1192.09</v>
      </c>
      <c r="BB61" s="13">
        <v>1229.93</v>
      </c>
      <c r="BC61" s="13"/>
      <c r="BD61" s="19"/>
      <c r="BE61" s="20"/>
    </row>
    <row r="62" spans="1:57" ht="15.75">
      <c r="A62" s="8"/>
      <c r="B62" s="8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>
        <f>AY61-AY60</f>
        <v>-23.397094030450262</v>
      </c>
      <c r="AZ62" s="31"/>
      <c r="BA62" s="31">
        <f>BA61-BA60</f>
        <v>-650.2619638536914</v>
      </c>
      <c r="BB62" s="31">
        <f>BB61-BB60</f>
        <v>-51.466237631912236</v>
      </c>
      <c r="BC62" s="31"/>
      <c r="BD62" s="19"/>
      <c r="BE62" s="20"/>
    </row>
    <row r="63" spans="1:57" ht="15.75" hidden="1">
      <c r="A63" s="35" t="s">
        <v>27</v>
      </c>
      <c r="B63" s="8" t="s">
        <v>20</v>
      </c>
      <c r="C63" s="31">
        <v>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8"/>
      <c r="L63" s="38"/>
      <c r="M63" s="38"/>
      <c r="N63" s="38"/>
      <c r="O63" s="38"/>
      <c r="P63" s="38"/>
      <c r="Q63" s="38"/>
      <c r="R63" s="38"/>
      <c r="S63" s="38"/>
      <c r="T63" s="37">
        <v>0</v>
      </c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7">
        <v>824.57</v>
      </c>
      <c r="AZ63" s="38"/>
      <c r="BA63" s="37">
        <v>0</v>
      </c>
      <c r="BB63" s="37">
        <v>824.57</v>
      </c>
      <c r="BC63" s="38"/>
      <c r="BE63" s="20"/>
    </row>
    <row r="64" spans="1:57" ht="15.75" hidden="1">
      <c r="A64" s="34" t="s">
        <v>116</v>
      </c>
      <c r="B64" s="36" t="s">
        <v>22</v>
      </c>
      <c r="C64" s="30">
        <f aca="true" t="shared" si="25" ref="C64:J64">C65+C66+C67+C68</f>
        <v>30.68</v>
      </c>
      <c r="D64" s="33">
        <f t="shared" si="25"/>
        <v>113.46</v>
      </c>
      <c r="E64" s="33">
        <f t="shared" si="25"/>
        <v>225.87</v>
      </c>
      <c r="F64" s="33">
        <f t="shared" si="25"/>
        <v>47.64</v>
      </c>
      <c r="G64" s="33">
        <f t="shared" si="25"/>
        <v>12.180000000000001</v>
      </c>
      <c r="H64" s="33">
        <f t="shared" si="25"/>
        <v>204.05999999999997</v>
      </c>
      <c r="I64" s="33">
        <f t="shared" si="25"/>
        <v>95.17999999999999</v>
      </c>
      <c r="J64" s="33">
        <f t="shared" si="25"/>
        <v>407.2</v>
      </c>
      <c r="K64" s="32"/>
      <c r="L64" s="32"/>
      <c r="M64" s="32"/>
      <c r="N64" s="32"/>
      <c r="O64" s="32"/>
      <c r="P64" s="32"/>
      <c r="Q64" s="32"/>
      <c r="R64" s="32"/>
      <c r="S64" s="32"/>
      <c r="T64" s="33">
        <f>T65+T66+T67+T68</f>
        <v>4310.88</v>
      </c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3">
        <f>AY65+AY66+AY67+AY68</f>
        <v>52748.56999999999</v>
      </c>
      <c r="AZ64" s="32"/>
      <c r="BA64" s="33">
        <f>BA65+BA66+BA67+BA68</f>
        <v>832.28</v>
      </c>
      <c r="BB64" s="33">
        <f>BB65+BB66+BB67+BB68</f>
        <v>59028</v>
      </c>
      <c r="BC64" s="32"/>
      <c r="BE64" s="20"/>
    </row>
    <row r="65" spans="1:57" ht="15.75" hidden="1">
      <c r="A65" s="3"/>
      <c r="B65" s="1" t="s">
        <v>11</v>
      </c>
      <c r="C65" s="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/>
      <c r="L65" s="22"/>
      <c r="M65" s="22"/>
      <c r="N65" s="22"/>
      <c r="O65" s="22"/>
      <c r="P65" s="22"/>
      <c r="Q65" s="22"/>
      <c r="R65" s="22"/>
      <c r="S65" s="22"/>
      <c r="T65" s="22">
        <v>0</v>
      </c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>
        <v>0</v>
      </c>
      <c r="AZ65" s="22"/>
      <c r="BA65" s="22">
        <v>0</v>
      </c>
      <c r="BB65" s="22">
        <f>AY65</f>
        <v>0</v>
      </c>
      <c r="BC65" s="22"/>
      <c r="BE65" s="20"/>
    </row>
    <row r="66" spans="1:57" ht="15.75" hidden="1">
      <c r="A66" s="3"/>
      <c r="B66" s="1" t="s">
        <v>23</v>
      </c>
      <c r="C66" s="2">
        <v>2.32</v>
      </c>
      <c r="D66" s="22">
        <v>8.59</v>
      </c>
      <c r="E66" s="22">
        <v>17.1</v>
      </c>
      <c r="F66" s="22">
        <v>3.61</v>
      </c>
      <c r="G66" s="22">
        <v>0.92</v>
      </c>
      <c r="H66" s="22">
        <v>15.45</v>
      </c>
      <c r="I66" s="22">
        <v>7.21</v>
      </c>
      <c r="J66" s="22">
        <v>30.83</v>
      </c>
      <c r="K66" s="22"/>
      <c r="L66" s="22"/>
      <c r="M66" s="22"/>
      <c r="N66" s="22"/>
      <c r="O66" s="22"/>
      <c r="P66" s="22"/>
      <c r="Q66" s="22"/>
      <c r="R66" s="22"/>
      <c r="S66" s="22"/>
      <c r="T66" s="22">
        <v>326.38</v>
      </c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>
        <v>3993.59</v>
      </c>
      <c r="AZ66" s="22"/>
      <c r="BA66" s="22">
        <v>63.01</v>
      </c>
      <c r="BB66" s="22">
        <f>C66+D66+E66+F66+G66+H66+J66+T66+AY66+BA66+I66</f>
        <v>4469.01</v>
      </c>
      <c r="BC66" s="22"/>
      <c r="BE66" s="20"/>
    </row>
    <row r="67" spans="1:57" ht="31.5" hidden="1">
      <c r="A67" s="3"/>
      <c r="B67" s="1" t="s">
        <v>31</v>
      </c>
      <c r="C67" s="2">
        <v>27.39</v>
      </c>
      <c r="D67" s="22">
        <v>101.3</v>
      </c>
      <c r="E67" s="22">
        <v>201.66</v>
      </c>
      <c r="F67" s="22">
        <v>42.53</v>
      </c>
      <c r="G67" s="22">
        <v>10.88</v>
      </c>
      <c r="H67" s="22">
        <v>182.19</v>
      </c>
      <c r="I67" s="22">
        <v>84.98</v>
      </c>
      <c r="J67" s="22">
        <v>363.56</v>
      </c>
      <c r="K67" s="22"/>
      <c r="L67" s="22"/>
      <c r="M67" s="22"/>
      <c r="N67" s="22"/>
      <c r="O67" s="22"/>
      <c r="P67" s="22"/>
      <c r="Q67" s="22"/>
      <c r="R67" s="22"/>
      <c r="S67" s="22"/>
      <c r="T67" s="22">
        <v>3848.88</v>
      </c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>
        <v>47095.53</v>
      </c>
      <c r="AZ67" s="22"/>
      <c r="BA67" s="22">
        <v>743.09</v>
      </c>
      <c r="BB67" s="22">
        <f>C67+D67+E67+F67+G67+H67+I67+J67+T67+AY67+BA67</f>
        <v>52701.99</v>
      </c>
      <c r="BC67" s="22"/>
      <c r="BE67" s="20"/>
    </row>
    <row r="68" spans="1:57" ht="20.25" customHeight="1" hidden="1">
      <c r="A68" s="3"/>
      <c r="B68" s="1" t="s">
        <v>21</v>
      </c>
      <c r="C68" s="2">
        <v>0.97</v>
      </c>
      <c r="D68" s="22">
        <v>3.57</v>
      </c>
      <c r="E68" s="22">
        <v>7.11</v>
      </c>
      <c r="F68" s="22">
        <v>1.5</v>
      </c>
      <c r="G68" s="22">
        <v>0.38</v>
      </c>
      <c r="H68" s="22">
        <v>6.42</v>
      </c>
      <c r="I68" s="22">
        <v>2.99</v>
      </c>
      <c r="J68" s="22">
        <v>12.81</v>
      </c>
      <c r="K68" s="22"/>
      <c r="L68" s="22"/>
      <c r="M68" s="22"/>
      <c r="N68" s="22"/>
      <c r="O68" s="22"/>
      <c r="P68" s="22"/>
      <c r="Q68" s="22"/>
      <c r="R68" s="22"/>
      <c r="S68" s="22"/>
      <c r="T68" s="22">
        <v>135.62</v>
      </c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>
        <v>1659.45</v>
      </c>
      <c r="AZ68" s="22"/>
      <c r="BA68" s="22">
        <v>26.18</v>
      </c>
      <c r="BB68" s="22">
        <f>C68+D68+E68+F68+G68+H68+I68+J68+T68+AY68+BA68</f>
        <v>1857.0000000000002</v>
      </c>
      <c r="BC68" s="22"/>
      <c r="BE68" s="20"/>
    </row>
    <row r="69" spans="1:57" ht="15.75" hidden="1">
      <c r="A69" s="3" t="s">
        <v>117</v>
      </c>
      <c r="B69" s="18" t="s">
        <v>30</v>
      </c>
      <c r="C69" s="13">
        <v>0.16</v>
      </c>
      <c r="D69" s="21">
        <v>0.6</v>
      </c>
      <c r="E69" s="21">
        <v>1.19</v>
      </c>
      <c r="F69" s="21">
        <v>0.25</v>
      </c>
      <c r="G69" s="21">
        <v>0.06</v>
      </c>
      <c r="H69" s="21">
        <v>1.08</v>
      </c>
      <c r="I69" s="21">
        <v>0.5</v>
      </c>
      <c r="J69" s="21">
        <v>2.15</v>
      </c>
      <c r="K69" s="22"/>
      <c r="L69" s="22"/>
      <c r="M69" s="22"/>
      <c r="N69" s="22"/>
      <c r="O69" s="22"/>
      <c r="P69" s="22"/>
      <c r="Q69" s="22"/>
      <c r="R69" s="22"/>
      <c r="S69" s="22"/>
      <c r="T69" s="21">
        <v>22.71</v>
      </c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1">
        <v>277.92</v>
      </c>
      <c r="AZ69" s="22"/>
      <c r="BA69" s="21">
        <v>4.39</v>
      </c>
      <c r="BB69" s="21">
        <f>C69+D69+E69+F69+G69+H69+I69+J69+T69+AY69+BA69</f>
        <v>311.01</v>
      </c>
      <c r="BC69" s="22"/>
      <c r="BE69" s="20"/>
    </row>
    <row r="70" spans="1:57" ht="15.75" hidden="1">
      <c r="A70" s="3" t="s">
        <v>118</v>
      </c>
      <c r="B70" s="18" t="s">
        <v>24</v>
      </c>
      <c r="C70" s="13">
        <v>1.79</v>
      </c>
      <c r="D70" s="21">
        <v>6.61</v>
      </c>
      <c r="E70" s="21">
        <v>13.15</v>
      </c>
      <c r="F70" s="21">
        <v>2.77</v>
      </c>
      <c r="G70" s="21">
        <v>0.71</v>
      </c>
      <c r="H70" s="21">
        <v>11.88</v>
      </c>
      <c r="I70" s="21">
        <v>5.54</v>
      </c>
      <c r="J70" s="21">
        <v>23.71</v>
      </c>
      <c r="K70" s="22"/>
      <c r="L70" s="22"/>
      <c r="M70" s="22"/>
      <c r="N70" s="22"/>
      <c r="O70" s="22"/>
      <c r="P70" s="22"/>
      <c r="Q70" s="22"/>
      <c r="R70" s="22"/>
      <c r="S70" s="22"/>
      <c r="T70" s="21">
        <v>251.01</v>
      </c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1">
        <v>3071.37</v>
      </c>
      <c r="AZ70" s="22"/>
      <c r="BA70" s="21">
        <v>48.46</v>
      </c>
      <c r="BB70" s="21">
        <f>C70+D70+E70+F70+G70+H70+I70+J70+T70+AY70+BA70</f>
        <v>3437</v>
      </c>
      <c r="BC70" s="22"/>
      <c r="BE70" s="20"/>
    </row>
    <row r="71" spans="1:57" ht="15.75" hidden="1">
      <c r="A71" s="3" t="s">
        <v>119</v>
      </c>
      <c r="B71" s="1" t="s">
        <v>25</v>
      </c>
      <c r="C71" s="13" t="e">
        <f>C51+C69+C70-C64</f>
        <v>#REF!</v>
      </c>
      <c r="D71" s="21" t="e">
        <f>D51+D69+D70-D64</f>
        <v>#REF!</v>
      </c>
      <c r="E71" s="21" t="e">
        <f>E51+E69+E70-E64</f>
        <v>#REF!</v>
      </c>
      <c r="F71" s="21" t="e">
        <f>F51+F63+F69+F70-F64</f>
        <v>#REF!</v>
      </c>
      <c r="G71" s="21" t="e">
        <f>G51+G63+G69+G70-G64</f>
        <v>#REF!</v>
      </c>
      <c r="H71" s="21" t="e">
        <f>H51+H63+H69+H70-H64</f>
        <v>#REF!</v>
      </c>
      <c r="I71" s="21" t="e">
        <f>I51+I63+I69+I70-I64</f>
        <v>#REF!</v>
      </c>
      <c r="J71" s="21" t="e">
        <f>J51+J63+J69+J70-J64</f>
        <v>#REF!</v>
      </c>
      <c r="K71" s="22"/>
      <c r="L71" s="22"/>
      <c r="M71" s="22"/>
      <c r="N71" s="22"/>
      <c r="O71" s="22"/>
      <c r="P71" s="22"/>
      <c r="Q71" s="22"/>
      <c r="R71" s="22"/>
      <c r="S71" s="22"/>
      <c r="T71" s="21" t="e">
        <f>T51+T63+T69+T70-T64</f>
        <v>#REF!</v>
      </c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1" t="e">
        <f>AY51+AY63+AY69+AY70-AY64</f>
        <v>#REF!</v>
      </c>
      <c r="AZ71" s="22"/>
      <c r="BA71" s="21" t="e">
        <f>BA51+BA63+BA69+BA70-BA64</f>
        <v>#REF!</v>
      </c>
      <c r="BB71" s="21" t="e">
        <f>BB51+BB69+BB70-BB64</f>
        <v>#REF!</v>
      </c>
      <c r="BC71" s="22"/>
      <c r="BE71" s="20"/>
    </row>
    <row r="72" spans="1:57" ht="15.75" hidden="1">
      <c r="A72" s="3" t="s">
        <v>120</v>
      </c>
      <c r="B72" s="1" t="s">
        <v>29</v>
      </c>
      <c r="C72" s="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/>
      <c r="L72" s="22"/>
      <c r="M72" s="22"/>
      <c r="N72" s="22"/>
      <c r="O72" s="22"/>
      <c r="P72" s="22"/>
      <c r="Q72" s="22"/>
      <c r="R72" s="22"/>
      <c r="S72" s="22"/>
      <c r="T72" s="22">
        <v>0</v>
      </c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>
        <v>0</v>
      </c>
      <c r="AZ72" s="22"/>
      <c r="BA72" s="22">
        <v>0</v>
      </c>
      <c r="BB72" s="22">
        <v>0</v>
      </c>
      <c r="BC72" s="22"/>
      <c r="BE72" s="20"/>
    </row>
    <row r="73" spans="1:57" ht="15.75" hidden="1">
      <c r="A73" s="3" t="s">
        <v>121</v>
      </c>
      <c r="B73" s="1" t="s">
        <v>26</v>
      </c>
      <c r="C73" s="2">
        <v>8.7</v>
      </c>
      <c r="D73" s="22">
        <v>32.18</v>
      </c>
      <c r="E73" s="22">
        <v>64.06</v>
      </c>
      <c r="F73" s="22">
        <v>13.51</v>
      </c>
      <c r="G73" s="22">
        <v>3.46</v>
      </c>
      <c r="H73" s="22">
        <v>57.87</v>
      </c>
      <c r="I73" s="22">
        <v>26.99</v>
      </c>
      <c r="J73" s="22">
        <v>115.49</v>
      </c>
      <c r="K73" s="22"/>
      <c r="L73" s="22"/>
      <c r="M73" s="22"/>
      <c r="N73" s="22"/>
      <c r="O73" s="22"/>
      <c r="P73" s="22"/>
      <c r="Q73" s="22"/>
      <c r="R73" s="22"/>
      <c r="S73" s="22"/>
      <c r="T73" s="22">
        <v>1222.61</v>
      </c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6">
        <v>14948.08</v>
      </c>
      <c r="AZ73" s="22"/>
      <c r="BA73" s="22">
        <v>236.05</v>
      </c>
      <c r="BB73" s="22">
        <f>C73+D73+E73+F73+G73+H73+I73+J73+T73+AY73+BA73</f>
        <v>16729</v>
      </c>
      <c r="BC73" s="22"/>
      <c r="BE73" s="20"/>
    </row>
    <row r="74" spans="1:57" ht="15.75" hidden="1">
      <c r="A74" s="3" t="s">
        <v>122</v>
      </c>
      <c r="B74" s="1" t="s">
        <v>28</v>
      </c>
      <c r="C74" s="13" t="e">
        <f aca="true" t="shared" si="26" ref="C74:I74">C71+C73</f>
        <v>#REF!</v>
      </c>
      <c r="D74" s="21" t="e">
        <f t="shared" si="26"/>
        <v>#REF!</v>
      </c>
      <c r="E74" s="21" t="e">
        <f t="shared" si="26"/>
        <v>#REF!</v>
      </c>
      <c r="F74" s="21" t="e">
        <f t="shared" si="26"/>
        <v>#REF!</v>
      </c>
      <c r="G74" s="21" t="e">
        <f t="shared" si="26"/>
        <v>#REF!</v>
      </c>
      <c r="H74" s="21" t="e">
        <f t="shared" si="26"/>
        <v>#REF!</v>
      </c>
      <c r="I74" s="21" t="e">
        <f t="shared" si="26"/>
        <v>#REF!</v>
      </c>
      <c r="J74" s="21" t="e">
        <f>J71-J73</f>
        <v>#REF!</v>
      </c>
      <c r="K74" s="22"/>
      <c r="L74" s="22"/>
      <c r="M74" s="22"/>
      <c r="N74" s="22"/>
      <c r="O74" s="22"/>
      <c r="P74" s="22"/>
      <c r="Q74" s="22"/>
      <c r="R74" s="22"/>
      <c r="S74" s="22"/>
      <c r="T74" s="21" t="e">
        <f>T71+T73</f>
        <v>#REF!</v>
      </c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1" t="e">
        <f>AY71+AY73</f>
        <v>#REF!</v>
      </c>
      <c r="AZ74" s="22"/>
      <c r="BA74" s="21" t="e">
        <f>BA71+BA73</f>
        <v>#REF!</v>
      </c>
      <c r="BB74" s="23" t="e">
        <f>BB71+BB73</f>
        <v>#REF!</v>
      </c>
      <c r="BC74" s="22"/>
      <c r="BE74" s="20"/>
    </row>
    <row r="75" spans="1:57" ht="15.75" hidden="1">
      <c r="A75" s="1">
        <v>30</v>
      </c>
      <c r="B75" s="1" t="s">
        <v>18</v>
      </c>
      <c r="C75" s="13" t="e">
        <f>C50/#REF!</f>
        <v>#REF!</v>
      </c>
      <c r="D75" s="13" t="e">
        <f>D50/#REF!</f>
        <v>#REF!</v>
      </c>
      <c r="E75" s="13" t="e">
        <f>E50/#REF!</f>
        <v>#REF!</v>
      </c>
      <c r="F75" s="16" t="e">
        <f>F50/#REF!</f>
        <v>#REF!</v>
      </c>
      <c r="G75" s="13" t="e">
        <f>G50/#REF!</f>
        <v>#REF!</v>
      </c>
      <c r="H75" s="16" t="e">
        <f>H50/#REF!</f>
        <v>#REF!</v>
      </c>
      <c r="I75" s="13" t="e">
        <f>I50/#REF!</f>
        <v>#REF!</v>
      </c>
      <c r="J75" s="13" t="e">
        <f>J50/#REF!</f>
        <v>#REF!</v>
      </c>
      <c r="K75" s="2"/>
      <c r="L75" s="2"/>
      <c r="M75" s="2"/>
      <c r="N75" s="2"/>
      <c r="O75" s="2"/>
      <c r="P75" s="2"/>
      <c r="Q75" s="2"/>
      <c r="R75" s="2"/>
      <c r="S75" s="2"/>
      <c r="T75" s="16" t="e">
        <f>T50/#REF!</f>
        <v>#REF!</v>
      </c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13" t="e">
        <f>AY50/#REF!</f>
        <v>#REF!</v>
      </c>
      <c r="AZ75" s="2"/>
      <c r="BA75" s="13" t="e">
        <f>BA50/#REF!</f>
        <v>#REF!</v>
      </c>
      <c r="BB75" s="13" t="e">
        <f>BB50/#REF!</f>
        <v>#REF!</v>
      </c>
      <c r="BC75" s="2"/>
      <c r="BE75" s="20"/>
    </row>
    <row r="76" spans="1:57" ht="15.75" hidden="1">
      <c r="A76" s="1">
        <v>31</v>
      </c>
      <c r="B76" s="1" t="s">
        <v>19</v>
      </c>
      <c r="C76" s="2" t="e">
        <f>#REF!/#REF!</f>
        <v>#REF!</v>
      </c>
      <c r="D76" s="2" t="e">
        <f>#REF!/#REF!</f>
        <v>#REF!</v>
      </c>
      <c r="E76" s="2" t="s">
        <v>12</v>
      </c>
      <c r="F76" s="2" t="e">
        <f>#REF!/#REF!</f>
        <v>#REF!</v>
      </c>
      <c r="G76" s="2" t="e">
        <f>#REF!/#REF!</f>
        <v>#REF!</v>
      </c>
      <c r="H76" s="2" t="e">
        <f>#REF!/#REF!</f>
        <v>#REF!</v>
      </c>
      <c r="I76" s="2" t="e">
        <f>#REF!/#REF!</f>
        <v>#REF!</v>
      </c>
      <c r="J76" s="2" t="e">
        <f>#REF!/#REF!</f>
        <v>#REF!</v>
      </c>
      <c r="K76" s="2"/>
      <c r="L76" s="2"/>
      <c r="M76" s="2"/>
      <c r="N76" s="2"/>
      <c r="O76" s="2"/>
      <c r="P76" s="2"/>
      <c r="Q76" s="2"/>
      <c r="R76" s="2"/>
      <c r="S76" s="2"/>
      <c r="T76" s="2" t="s">
        <v>12</v>
      </c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 t="e">
        <f>#REF!/#REF!</f>
        <v>#REF!</v>
      </c>
      <c r="AZ76" s="2"/>
      <c r="BA76" s="2" t="e">
        <f>#REF!/#REF!</f>
        <v>#REF!</v>
      </c>
      <c r="BB76" s="13" t="e">
        <f>#REF!/#REF!</f>
        <v>#REF!</v>
      </c>
      <c r="BC76" s="2"/>
      <c r="BE76" s="20"/>
    </row>
    <row r="77" spans="2:55" ht="17.25" customHeight="1">
      <c r="B77" s="14"/>
      <c r="I77" s="54"/>
      <c r="K77" s="15"/>
      <c r="L77" s="15"/>
      <c r="M77" s="15"/>
      <c r="N77" s="15"/>
      <c r="O77" s="15"/>
      <c r="P77" s="15"/>
      <c r="Q77" s="15"/>
      <c r="R77" s="15"/>
      <c r="S77" s="15"/>
      <c r="T77" s="9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9"/>
      <c r="AZ77" s="15"/>
      <c r="BB77" s="9"/>
      <c r="BC77" s="15"/>
    </row>
    <row r="78" spans="2:55" ht="15.75">
      <c r="B78" s="17"/>
      <c r="K78" s="9"/>
      <c r="L78" s="9"/>
      <c r="M78" s="9"/>
      <c r="N78" s="9"/>
      <c r="O78" s="9"/>
      <c r="P78" s="9"/>
      <c r="Q78" s="9"/>
      <c r="R78" s="9"/>
      <c r="S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Z78" s="9"/>
      <c r="BB78" s="15"/>
      <c r="BC78" s="9"/>
    </row>
    <row r="79" spans="2:20" ht="15.75">
      <c r="B79" s="8"/>
      <c r="T79" s="9"/>
    </row>
    <row r="80" ht="15.75">
      <c r="C80" s="9"/>
    </row>
  </sheetData>
  <mergeCells count="12">
    <mergeCell ref="A1:F1"/>
    <mergeCell ref="I1:BA1"/>
    <mergeCell ref="K2:S2"/>
    <mergeCell ref="T2:U2"/>
    <mergeCell ref="V2:AX2"/>
    <mergeCell ref="AY2:AZ2"/>
    <mergeCell ref="BB2:BC2"/>
    <mergeCell ref="A3:A4"/>
    <mergeCell ref="B3:B4"/>
    <mergeCell ref="T3:U3"/>
    <mergeCell ref="AY3:AZ3"/>
    <mergeCell ref="BB3:BC3"/>
  </mergeCells>
  <printOptions/>
  <pageMargins left="0.2" right="0.2" top="0.23" bottom="0.2" header="0.2" footer="0.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85"/>
  <sheetViews>
    <sheetView tabSelected="1" workbookViewId="0" topLeftCell="A1">
      <selection activeCell="A1" sqref="A1:BC1"/>
    </sheetView>
  </sheetViews>
  <sheetFormatPr defaultColWidth="9.140625" defaultRowHeight="12.75"/>
  <cols>
    <col min="1" max="1" width="4.8515625" style="7" customWidth="1"/>
    <col min="2" max="2" width="40.7109375" style="7" customWidth="1"/>
    <col min="3" max="4" width="15.8515625" style="7" customWidth="1"/>
    <col min="5" max="5" width="15.421875" style="7" customWidth="1"/>
    <col min="6" max="7" width="15.00390625" style="7" customWidth="1"/>
    <col min="8" max="8" width="15.28125" style="7" customWidth="1"/>
    <col min="9" max="9" width="15.140625" style="7" customWidth="1"/>
    <col min="10" max="10" width="15.57421875" style="7" customWidth="1"/>
    <col min="11" max="11" width="15.140625" style="7" hidden="1" customWidth="1"/>
    <col min="12" max="12" width="14.28125" style="7" hidden="1" customWidth="1"/>
    <col min="13" max="13" width="13.140625" style="7" hidden="1" customWidth="1"/>
    <col min="14" max="14" width="13.57421875" style="7" hidden="1" customWidth="1"/>
    <col min="15" max="15" width="13.28125" style="7" hidden="1" customWidth="1"/>
    <col min="16" max="16" width="13.421875" style="7" hidden="1" customWidth="1"/>
    <col min="17" max="17" width="12.140625" style="7" hidden="1" customWidth="1"/>
    <col min="18" max="18" width="13.421875" style="7" hidden="1" customWidth="1"/>
    <col min="19" max="19" width="13.57421875" style="7" hidden="1" customWidth="1"/>
    <col min="20" max="20" width="14.140625" style="7" hidden="1" customWidth="1"/>
    <col min="21" max="21" width="25.8515625" style="7" customWidth="1"/>
    <col min="22" max="22" width="13.57421875" style="7" hidden="1" customWidth="1"/>
    <col min="23" max="23" width="12.00390625" style="7" hidden="1" customWidth="1"/>
    <col min="24" max="24" width="11.00390625" style="7" hidden="1" customWidth="1"/>
    <col min="25" max="25" width="11.8515625" style="7" hidden="1" customWidth="1"/>
    <col min="26" max="26" width="11.421875" style="7" hidden="1" customWidth="1"/>
    <col min="27" max="27" width="11.28125" style="7" hidden="1" customWidth="1"/>
    <col min="28" max="28" width="11.421875" style="7" hidden="1" customWidth="1"/>
    <col min="29" max="29" width="11.140625" style="7" hidden="1" customWidth="1"/>
    <col min="30" max="30" width="11.00390625" style="7" hidden="1" customWidth="1"/>
    <col min="31" max="31" width="11.7109375" style="7" hidden="1" customWidth="1"/>
    <col min="32" max="32" width="11.8515625" style="7" hidden="1" customWidth="1"/>
    <col min="33" max="33" width="12.421875" style="7" hidden="1" customWidth="1"/>
    <col min="34" max="34" width="13.57421875" style="7" hidden="1" customWidth="1"/>
    <col min="35" max="36" width="11.7109375" style="7" hidden="1" customWidth="1"/>
    <col min="37" max="37" width="11.57421875" style="7" hidden="1" customWidth="1"/>
    <col min="38" max="38" width="11.421875" style="7" hidden="1" customWidth="1"/>
    <col min="39" max="39" width="12.140625" style="7" hidden="1" customWidth="1"/>
    <col min="40" max="40" width="11.57421875" style="7" hidden="1" customWidth="1"/>
    <col min="41" max="41" width="11.7109375" style="7" hidden="1" customWidth="1"/>
    <col min="42" max="42" width="10.421875" style="7" hidden="1" customWidth="1"/>
    <col min="43" max="43" width="12.28125" style="7" hidden="1" customWidth="1"/>
    <col min="44" max="44" width="12.7109375" style="7" hidden="1" customWidth="1"/>
    <col min="45" max="45" width="12.00390625" style="7" hidden="1" customWidth="1"/>
    <col min="46" max="46" width="12.7109375" style="7" hidden="1" customWidth="1"/>
    <col min="47" max="47" width="13.57421875" style="7" hidden="1" customWidth="1"/>
    <col min="48" max="48" width="12.8515625" style="7" hidden="1" customWidth="1"/>
    <col min="49" max="49" width="12.140625" style="7" hidden="1" customWidth="1"/>
    <col min="50" max="50" width="11.7109375" style="7" hidden="1" customWidth="1"/>
    <col min="51" max="51" width="12.00390625" style="7" hidden="1" customWidth="1"/>
    <col min="52" max="52" width="18.28125" style="7" customWidth="1"/>
    <col min="53" max="53" width="12.57421875" style="7" hidden="1" customWidth="1"/>
    <col min="54" max="55" width="16.421875" style="7" customWidth="1"/>
    <col min="56" max="56" width="12.140625" style="7" hidden="1" customWidth="1"/>
    <col min="57" max="57" width="15.140625" style="10" customWidth="1"/>
    <col min="58" max="58" width="13.7109375" style="10" customWidth="1"/>
    <col min="59" max="59" width="10.7109375" style="10" customWidth="1"/>
    <col min="60" max="69" width="9.140625" style="10" customWidth="1"/>
    <col min="70" max="16384" width="9.140625" style="10" customWidth="1"/>
  </cols>
  <sheetData>
    <row r="1" spans="1:55" ht="28.5" customHeight="1">
      <c r="A1" s="100" t="s">
        <v>165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</row>
    <row r="2" spans="1:56" ht="42.75" customHeight="1">
      <c r="A2" s="43"/>
      <c r="B2" s="11"/>
      <c r="C2" s="82" t="s">
        <v>166</v>
      </c>
      <c r="D2" s="83" t="s">
        <v>166</v>
      </c>
      <c r="E2" s="83" t="s">
        <v>86</v>
      </c>
      <c r="F2" s="83" t="s">
        <v>91</v>
      </c>
      <c r="G2" s="81" t="s">
        <v>87</v>
      </c>
      <c r="H2" s="81" t="s">
        <v>103</v>
      </c>
      <c r="I2" s="81" t="s">
        <v>92</v>
      </c>
      <c r="J2" s="81" t="s">
        <v>14</v>
      </c>
      <c r="K2" s="102" t="s">
        <v>95</v>
      </c>
      <c r="L2" s="103"/>
      <c r="M2" s="103"/>
      <c r="N2" s="103"/>
      <c r="O2" s="103"/>
      <c r="P2" s="103"/>
      <c r="Q2" s="103"/>
      <c r="R2" s="103"/>
      <c r="S2" s="103"/>
      <c r="T2" s="62"/>
      <c r="U2" s="106" t="s">
        <v>164</v>
      </c>
      <c r="V2" s="107"/>
      <c r="W2" s="102" t="s">
        <v>60</v>
      </c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4"/>
      <c r="AZ2" s="102" t="s">
        <v>2</v>
      </c>
      <c r="BA2" s="104"/>
      <c r="BB2" s="81" t="s">
        <v>3</v>
      </c>
      <c r="BC2" s="102" t="s">
        <v>15</v>
      </c>
      <c r="BD2" s="104"/>
    </row>
    <row r="3" spans="1:56" ht="29.25" customHeight="1">
      <c r="A3" s="1" t="s">
        <v>4</v>
      </c>
      <c r="B3" s="1" t="s">
        <v>5</v>
      </c>
      <c r="C3" s="46" t="s">
        <v>94</v>
      </c>
      <c r="D3" s="46" t="s">
        <v>101</v>
      </c>
      <c r="E3" s="46" t="s">
        <v>104</v>
      </c>
      <c r="F3" s="46" t="s">
        <v>90</v>
      </c>
      <c r="G3" s="46" t="s">
        <v>93</v>
      </c>
      <c r="H3" s="46" t="s">
        <v>102</v>
      </c>
      <c r="I3" s="46" t="s">
        <v>88</v>
      </c>
      <c r="J3" s="46" t="s">
        <v>89</v>
      </c>
      <c r="K3" s="46" t="s">
        <v>51</v>
      </c>
      <c r="L3" s="46" t="s">
        <v>52</v>
      </c>
      <c r="M3" s="46" t="s">
        <v>53</v>
      </c>
      <c r="N3" s="46" t="s">
        <v>54</v>
      </c>
      <c r="O3" s="46" t="s">
        <v>123</v>
      </c>
      <c r="P3" s="46" t="s">
        <v>55</v>
      </c>
      <c r="Q3" s="46" t="s">
        <v>56</v>
      </c>
      <c r="R3" s="46" t="s">
        <v>58</v>
      </c>
      <c r="S3" s="46" t="s">
        <v>57</v>
      </c>
      <c r="T3" s="46" t="s">
        <v>146</v>
      </c>
      <c r="U3" s="99"/>
      <c r="V3" s="99"/>
      <c r="W3" s="46" t="s">
        <v>59</v>
      </c>
      <c r="X3" s="46" t="s">
        <v>67</v>
      </c>
      <c r="Y3" s="46" t="s">
        <v>68</v>
      </c>
      <c r="Z3" s="46" t="s">
        <v>69</v>
      </c>
      <c r="AA3" s="46" t="s">
        <v>70</v>
      </c>
      <c r="AB3" s="46" t="s">
        <v>71</v>
      </c>
      <c r="AC3" s="46" t="s">
        <v>72</v>
      </c>
      <c r="AD3" s="46" t="s">
        <v>73</v>
      </c>
      <c r="AE3" s="46" t="s">
        <v>105</v>
      </c>
      <c r="AF3" s="46" t="s">
        <v>74</v>
      </c>
      <c r="AG3" s="46" t="s">
        <v>75</v>
      </c>
      <c r="AH3" s="46" t="s">
        <v>76</v>
      </c>
      <c r="AI3" s="46" t="s">
        <v>77</v>
      </c>
      <c r="AJ3" s="46" t="s">
        <v>78</v>
      </c>
      <c r="AK3" s="46" t="s">
        <v>79</v>
      </c>
      <c r="AL3" s="46" t="s">
        <v>80</v>
      </c>
      <c r="AM3" s="46" t="s">
        <v>81</v>
      </c>
      <c r="AN3" s="46" t="s">
        <v>82</v>
      </c>
      <c r="AO3" s="46" t="s">
        <v>83</v>
      </c>
      <c r="AP3" s="46" t="s">
        <v>106</v>
      </c>
      <c r="AQ3" s="46" t="s">
        <v>84</v>
      </c>
      <c r="AR3" s="46" t="s">
        <v>85</v>
      </c>
      <c r="AS3" s="46" t="s">
        <v>61</v>
      </c>
      <c r="AT3" s="46" t="s">
        <v>62</v>
      </c>
      <c r="AU3" s="46" t="s">
        <v>63</v>
      </c>
      <c r="AV3" s="46" t="s">
        <v>64</v>
      </c>
      <c r="AW3" s="46" t="s">
        <v>107</v>
      </c>
      <c r="AX3" s="46" t="s">
        <v>65</v>
      </c>
      <c r="AY3" s="46" t="s">
        <v>66</v>
      </c>
      <c r="AZ3" s="99"/>
      <c r="BA3" s="99"/>
      <c r="BB3" s="85"/>
      <c r="BC3" s="105" t="s">
        <v>148</v>
      </c>
      <c r="BD3" s="105"/>
    </row>
    <row r="4" spans="1:59" s="12" customFormat="1" ht="19.5" customHeight="1">
      <c r="A4" s="42">
        <v>1</v>
      </c>
      <c r="B4" s="87" t="s">
        <v>168</v>
      </c>
      <c r="C4" s="18">
        <v>232.803</v>
      </c>
      <c r="D4" s="18">
        <v>1007.762</v>
      </c>
      <c r="E4" s="18">
        <v>2005.918</v>
      </c>
      <c r="F4" s="18">
        <v>381.69</v>
      </c>
      <c r="G4" s="18">
        <v>89.151</v>
      </c>
      <c r="H4" s="18">
        <v>1817.277</v>
      </c>
      <c r="I4" s="18">
        <v>106.521</v>
      </c>
      <c r="J4" s="18">
        <v>3229.537</v>
      </c>
      <c r="K4" s="18">
        <v>6255.17</v>
      </c>
      <c r="L4" s="18">
        <v>6691.552</v>
      </c>
      <c r="M4" s="18">
        <v>9058.861</v>
      </c>
      <c r="N4" s="18">
        <v>7139.863</v>
      </c>
      <c r="O4" s="18">
        <v>821.8</v>
      </c>
      <c r="P4" s="18">
        <v>202.456</v>
      </c>
      <c r="Q4" s="18">
        <v>762.53</v>
      </c>
      <c r="R4" s="18">
        <v>1612.934</v>
      </c>
      <c r="S4" s="18">
        <v>454.912</v>
      </c>
      <c r="T4" s="18">
        <v>96.474</v>
      </c>
      <c r="U4" s="18">
        <f>K4+L4+M4+N4+O4+P4+Q4+R4+S4+T4</f>
        <v>33096.551999999996</v>
      </c>
      <c r="V4" s="75">
        <f>K4+L4+M4+N4+O4+P4+Q4+R4+S4+T4</f>
        <v>33096.551999999996</v>
      </c>
      <c r="W4" s="18">
        <v>17698.215</v>
      </c>
      <c r="X4" s="18">
        <v>1835.721</v>
      </c>
      <c r="Y4" s="18">
        <v>3418.222</v>
      </c>
      <c r="Z4" s="18">
        <v>1962.198</v>
      </c>
      <c r="AA4" s="18">
        <v>1166.064</v>
      </c>
      <c r="AB4" s="18">
        <v>6573.895</v>
      </c>
      <c r="AC4" s="18">
        <v>3902.147</v>
      </c>
      <c r="AD4" s="18">
        <v>6533.378</v>
      </c>
      <c r="AE4" s="18">
        <v>96.944</v>
      </c>
      <c r="AF4" s="18">
        <v>7543.385</v>
      </c>
      <c r="AG4" s="18">
        <v>5589.363</v>
      </c>
      <c r="AH4" s="18">
        <v>4916.458</v>
      </c>
      <c r="AI4" s="18">
        <v>3149.678</v>
      </c>
      <c r="AJ4" s="18">
        <v>1928.237</v>
      </c>
      <c r="AK4" s="18">
        <v>1194.436</v>
      </c>
      <c r="AL4" s="18">
        <v>8453.908</v>
      </c>
      <c r="AM4" s="18">
        <v>18186.495</v>
      </c>
      <c r="AN4" s="85">
        <v>69.343</v>
      </c>
      <c r="AO4" s="18">
        <v>20020.787</v>
      </c>
      <c r="AP4" s="18">
        <v>0</v>
      </c>
      <c r="AQ4" s="18">
        <v>35642.408</v>
      </c>
      <c r="AR4" s="18">
        <v>349.869</v>
      </c>
      <c r="AS4" s="18">
        <v>77647.627</v>
      </c>
      <c r="AT4" s="18">
        <v>49889.271</v>
      </c>
      <c r="AU4" s="18">
        <v>47556.742</v>
      </c>
      <c r="AV4" s="18">
        <v>41512.804</v>
      </c>
      <c r="AW4" s="18">
        <v>34961.279</v>
      </c>
      <c r="AX4" s="18">
        <v>7025.615</v>
      </c>
      <c r="AY4" s="18">
        <v>5881.47</v>
      </c>
      <c r="AZ4" s="18">
        <f>W4+X4+Y4+Z4+AA4+AB4+AC4+AD4+AE4+AF4+AG4+AH4+AI4+AJ4+AK4+AL4+AM4+AN4+AO4+AP4+AQ4+AR4+AS4+AT4+AU4+AV4+AW4+AX4+AY4</f>
        <v>414705.9589999999</v>
      </c>
      <c r="BA4" s="1"/>
      <c r="BB4" s="18">
        <v>6646.829</v>
      </c>
      <c r="BC4" s="21">
        <f>BB4+AZ4+U4+J4+I4+H4+G4+F4+E4+D4+C4</f>
        <v>463319.999</v>
      </c>
      <c r="BD4" s="1"/>
      <c r="BG4" s="79"/>
    </row>
    <row r="5" spans="1:57" s="12" customFormat="1" ht="14.25" customHeight="1">
      <c r="A5" s="34"/>
      <c r="B5" s="42" t="s">
        <v>113</v>
      </c>
      <c r="C5" s="1">
        <v>141.247</v>
      </c>
      <c r="D5" s="1">
        <v>128.214</v>
      </c>
      <c r="E5" s="1">
        <v>130.801</v>
      </c>
      <c r="F5" s="1">
        <v>231.58</v>
      </c>
      <c r="G5" s="1">
        <v>54.09</v>
      </c>
      <c r="H5" s="1">
        <v>187.833</v>
      </c>
      <c r="I5" s="1">
        <v>24.886</v>
      </c>
      <c r="J5" s="1">
        <v>1959.433</v>
      </c>
      <c r="K5" s="1">
        <v>4440.225</v>
      </c>
      <c r="L5" s="1">
        <v>4749.993</v>
      </c>
      <c r="M5" s="1">
        <v>6430.425</v>
      </c>
      <c r="N5" s="1">
        <v>5068.226</v>
      </c>
      <c r="O5" s="1">
        <v>583.354</v>
      </c>
      <c r="P5" s="1">
        <v>143.713</v>
      </c>
      <c r="Q5" s="1">
        <v>541.281</v>
      </c>
      <c r="R5" s="1">
        <v>1144.94</v>
      </c>
      <c r="S5" s="1">
        <v>322.919</v>
      </c>
      <c r="T5" s="1">
        <v>68.482</v>
      </c>
      <c r="U5" s="18">
        <f>K5+L5+M5+N5+O5+P5+Q5+R5+S5+T5</f>
        <v>23493.557999999997</v>
      </c>
      <c r="V5" s="75">
        <f>K5+L5+M5+N5+O5+P5+Q5+R5+S5+T5</f>
        <v>23493.557999999997</v>
      </c>
      <c r="W5" s="1">
        <v>13054.573</v>
      </c>
      <c r="X5" s="1">
        <v>1354.066</v>
      </c>
      <c r="Y5" s="1">
        <v>2521.352</v>
      </c>
      <c r="Z5" s="1">
        <v>1447.358</v>
      </c>
      <c r="AA5" s="1">
        <v>860.113</v>
      </c>
      <c r="AB5" s="1">
        <v>4849.042</v>
      </c>
      <c r="AC5" s="1">
        <v>2878.305</v>
      </c>
      <c r="AD5" s="1">
        <v>4819.156</v>
      </c>
      <c r="AE5" s="1">
        <v>71.508</v>
      </c>
      <c r="AF5" s="1">
        <v>5564.158</v>
      </c>
      <c r="AG5" s="1">
        <v>4122.831</v>
      </c>
      <c r="AH5" s="1">
        <v>3626.482</v>
      </c>
      <c r="AI5" s="1">
        <v>2323.268</v>
      </c>
      <c r="AJ5" s="1">
        <v>1422.308</v>
      </c>
      <c r="AK5" s="1">
        <v>881.042</v>
      </c>
      <c r="AL5" s="1">
        <v>6235.779</v>
      </c>
      <c r="AM5" s="1">
        <v>13414.738</v>
      </c>
      <c r="AN5" s="1">
        <v>51.149</v>
      </c>
      <c r="AO5" s="1">
        <v>14767.758</v>
      </c>
      <c r="AP5" s="1">
        <v>0</v>
      </c>
      <c r="AQ5" s="1">
        <v>26290.584</v>
      </c>
      <c r="AR5" s="1">
        <v>258.071</v>
      </c>
      <c r="AS5" s="1">
        <v>57274.486</v>
      </c>
      <c r="AT5" s="1">
        <v>36799.368</v>
      </c>
      <c r="AU5" s="1">
        <v>35078.846</v>
      </c>
      <c r="AV5" s="1">
        <v>30620.726</v>
      </c>
      <c r="AW5" s="1">
        <v>25788.169</v>
      </c>
      <c r="AX5" s="1">
        <v>5182.24</v>
      </c>
      <c r="AY5" s="1">
        <v>4338.295</v>
      </c>
      <c r="AZ5" s="18">
        <f>W5+X5+Y5+Z5+AA5+AB5+AC5+AD5+AE5+AF5+AG5+AH5+AI5+AJ5+AK5+AL5+AM5+AN5+AO5+AP5+AQ5+AR5+AS5+AT5+AU5+AV5+AW5+AX5+AY5</f>
        <v>305895.77099999995</v>
      </c>
      <c r="BA5" s="1"/>
      <c r="BB5" s="1">
        <v>4978.376</v>
      </c>
      <c r="BC5" s="18">
        <f>BB5+AZ5+U5+J5+I5+H5+G5+F5+E5+D5+C5</f>
        <v>337225.78899999993</v>
      </c>
      <c r="BD5" s="1"/>
      <c r="BE5" s="79"/>
    </row>
    <row r="6" spans="1:57" s="12" customFormat="1" ht="17.25" customHeight="1" hidden="1">
      <c r="A6" s="34"/>
      <c r="B6" s="42" t="s">
        <v>160</v>
      </c>
      <c r="C6" s="1">
        <f>C5/BC5</f>
        <v>0.0004188499355842564</v>
      </c>
      <c r="D6" s="1">
        <f>D5/BC5</f>
        <v>0.0003802022389218875</v>
      </c>
      <c r="E6" s="1">
        <f aca="true" t="shared" si="0" ref="E6:BC6">E5/337225.789</f>
        <v>0.0003878736569580685</v>
      </c>
      <c r="F6" s="1">
        <f t="shared" si="0"/>
        <v>0.0006867209079315106</v>
      </c>
      <c r="G6" s="1">
        <f t="shared" si="0"/>
        <v>0.0001603969855342232</v>
      </c>
      <c r="H6" s="1">
        <f t="shared" si="0"/>
        <v>0.0005569947676807126</v>
      </c>
      <c r="I6" s="84">
        <f t="shared" si="0"/>
        <v>7.379625405813789E-05</v>
      </c>
      <c r="J6" s="1">
        <f t="shared" si="0"/>
        <v>0.0058104482631961465</v>
      </c>
      <c r="K6" s="1">
        <f t="shared" si="0"/>
        <v>0.01316692004240518</v>
      </c>
      <c r="L6" s="1">
        <f t="shared" si="0"/>
        <v>0.014085497476588306</v>
      </c>
      <c r="M6" s="1">
        <f t="shared" si="0"/>
        <v>0.019068603913919527</v>
      </c>
      <c r="N6" s="1">
        <f t="shared" si="0"/>
        <v>0.015029176786950893</v>
      </c>
      <c r="O6" s="1">
        <f t="shared" si="0"/>
        <v>0.0017298617692610694</v>
      </c>
      <c r="P6" s="1">
        <f t="shared" si="0"/>
        <v>0.0004261625435769979</v>
      </c>
      <c r="Q6" s="1">
        <f t="shared" si="0"/>
        <v>0.001605099662173227</v>
      </c>
      <c r="R6" s="1">
        <f t="shared" si="0"/>
        <v>0.0033951733151701517</v>
      </c>
      <c r="S6" s="1">
        <f t="shared" si="0"/>
        <v>0.0009575750447721541</v>
      </c>
      <c r="T6" s="1">
        <f t="shared" si="0"/>
        <v>0.00020307462309770147</v>
      </c>
      <c r="U6" s="1">
        <f t="shared" si="0"/>
        <v>0.0696671451779152</v>
      </c>
      <c r="V6" s="1">
        <f t="shared" si="0"/>
        <v>0.0696671451779152</v>
      </c>
      <c r="W6" s="1">
        <f t="shared" si="0"/>
        <v>0.038711668638130164</v>
      </c>
      <c r="X6" s="1">
        <f t="shared" si="0"/>
        <v>0.004015309754379432</v>
      </c>
      <c r="Y6" s="1">
        <f t="shared" si="0"/>
        <v>0.007476747278067752</v>
      </c>
      <c r="Z6" s="1">
        <f t="shared" si="0"/>
        <v>0.004291955263243523</v>
      </c>
      <c r="AA6" s="1">
        <f t="shared" si="0"/>
        <v>0.002550555230519455</v>
      </c>
      <c r="AB6" s="1">
        <f t="shared" si="0"/>
        <v>0.014379214633552241</v>
      </c>
      <c r="AC6" s="1">
        <f t="shared" si="0"/>
        <v>0.008535245802330971</v>
      </c>
      <c r="AD6" s="1">
        <f t="shared" si="0"/>
        <v>0.01429059151819495</v>
      </c>
      <c r="AE6" s="1">
        <f t="shared" si="0"/>
        <v>0.00021204783955594808</v>
      </c>
      <c r="AF6" s="1">
        <f t="shared" si="0"/>
        <v>0.016499799782513078</v>
      </c>
      <c r="AG6" s="1">
        <f t="shared" si="0"/>
        <v>0.012225728679368589</v>
      </c>
      <c r="AH6" s="1">
        <f t="shared" si="0"/>
        <v>0.010753869123574058</v>
      </c>
      <c r="AI6" s="1">
        <f t="shared" si="0"/>
        <v>0.006889354479351519</v>
      </c>
      <c r="AJ6" s="1">
        <f t="shared" si="0"/>
        <v>0.0042176726881347736</v>
      </c>
      <c r="AK6" s="1">
        <f t="shared" si="0"/>
        <v>0.0026126175065454443</v>
      </c>
      <c r="AL6" s="1">
        <f t="shared" si="0"/>
        <v>0.01849140606503259</v>
      </c>
      <c r="AM6" s="1">
        <f t="shared" si="0"/>
        <v>0.03977969193809196</v>
      </c>
      <c r="AN6" s="1">
        <f t="shared" si="0"/>
        <v>0.00015167582571806216</v>
      </c>
      <c r="AO6" s="1">
        <f t="shared" si="0"/>
        <v>0.04379189991308761</v>
      </c>
      <c r="AP6" s="1">
        <f t="shared" si="0"/>
        <v>0</v>
      </c>
      <c r="AQ6" s="1">
        <f t="shared" si="0"/>
        <v>0.07796136848833943</v>
      </c>
      <c r="AR6" s="1">
        <f t="shared" si="0"/>
        <v>0.0007652765844666762</v>
      </c>
      <c r="AS6" s="1">
        <f t="shared" si="0"/>
        <v>0.16984017198044127</v>
      </c>
      <c r="AT6" s="1">
        <f t="shared" si="0"/>
        <v>0.10912382504648838</v>
      </c>
      <c r="AU6" s="1">
        <f t="shared" si="0"/>
        <v>0.10402183683526053</v>
      </c>
      <c r="AV6" s="1">
        <f t="shared" si="0"/>
        <v>0.0908018514562657</v>
      </c>
      <c r="AW6" s="1">
        <f t="shared" si="0"/>
        <v>0.07647152098441677</v>
      </c>
      <c r="AX6" s="1">
        <f t="shared" si="0"/>
        <v>0.01536727073978319</v>
      </c>
      <c r="AY6" s="1">
        <f t="shared" si="0"/>
        <v>0.012864659647960673</v>
      </c>
      <c r="AZ6" s="1">
        <f t="shared" si="0"/>
        <v>0.9070948337228146</v>
      </c>
      <c r="BA6" s="1">
        <f t="shared" si="0"/>
        <v>0</v>
      </c>
      <c r="BB6" s="1">
        <f t="shared" si="0"/>
        <v>0.014762738089405139</v>
      </c>
      <c r="BC6" s="1">
        <f t="shared" si="0"/>
        <v>0.9999999999999998</v>
      </c>
      <c r="BD6" s="1"/>
      <c r="BE6" s="79"/>
    </row>
    <row r="7" spans="1:56" s="12" customFormat="1" ht="18" customHeight="1" hidden="1">
      <c r="A7" s="34"/>
      <c r="B7" s="42" t="s">
        <v>41</v>
      </c>
      <c r="C7" s="22">
        <f aca="true" t="shared" si="1" ref="C7:AY7">C4/C5*1000</f>
        <v>1648.1978378301837</v>
      </c>
      <c r="D7" s="22">
        <f t="shared" si="1"/>
        <v>7859.999688021589</v>
      </c>
      <c r="E7" s="22">
        <f t="shared" si="1"/>
        <v>15335.64728098409</v>
      </c>
      <c r="F7" s="22">
        <f t="shared" si="1"/>
        <v>1648.1993263666984</v>
      </c>
      <c r="G7" s="22">
        <f t="shared" si="1"/>
        <v>1648.1974486966167</v>
      </c>
      <c r="H7" s="22">
        <f t="shared" si="1"/>
        <v>9674.961268786636</v>
      </c>
      <c r="I7" s="22">
        <f t="shared" si="1"/>
        <v>4280.358434461144</v>
      </c>
      <c r="J7" s="22">
        <f t="shared" si="1"/>
        <v>1648.199759828481</v>
      </c>
      <c r="K7" s="22">
        <f t="shared" si="1"/>
        <v>1408.7506826793685</v>
      </c>
      <c r="L7" s="22">
        <f t="shared" si="1"/>
        <v>1408.7498655261174</v>
      </c>
      <c r="M7" s="22">
        <f t="shared" si="1"/>
        <v>1408.7499659820307</v>
      </c>
      <c r="N7" s="22">
        <f t="shared" si="1"/>
        <v>1408.7499255163445</v>
      </c>
      <c r="O7" s="22">
        <f t="shared" si="1"/>
        <v>1408.7500899968113</v>
      </c>
      <c r="P7" s="22">
        <f t="shared" si="1"/>
        <v>1408.752165774843</v>
      </c>
      <c r="Q7" s="22">
        <f t="shared" si="1"/>
        <v>1408.750722822342</v>
      </c>
      <c r="R7" s="22">
        <f t="shared" si="1"/>
        <v>1408.7498034831517</v>
      </c>
      <c r="S7" s="22">
        <f t="shared" si="1"/>
        <v>1408.7495625838058</v>
      </c>
      <c r="T7" s="22">
        <f t="shared" si="1"/>
        <v>1408.7497444583978</v>
      </c>
      <c r="U7" s="21">
        <f t="shared" si="1"/>
        <v>1408.7500922593335</v>
      </c>
      <c r="V7" s="76">
        <f t="shared" si="1"/>
        <v>1408.7500922593335</v>
      </c>
      <c r="W7" s="22">
        <f t="shared" si="1"/>
        <v>1355.7099876035777</v>
      </c>
      <c r="X7" s="22">
        <f t="shared" si="1"/>
        <v>1355.7101352519005</v>
      </c>
      <c r="Y7" s="22">
        <f t="shared" si="1"/>
        <v>1355.7099524382159</v>
      </c>
      <c r="Z7" s="22">
        <f t="shared" si="1"/>
        <v>1355.7101974770583</v>
      </c>
      <c r="AA7" s="22">
        <f t="shared" si="1"/>
        <v>1355.7102380733695</v>
      </c>
      <c r="AB7" s="22">
        <f t="shared" si="1"/>
        <v>1355.7100557182223</v>
      </c>
      <c r="AC7" s="22">
        <f t="shared" si="1"/>
        <v>1355.7100446269594</v>
      </c>
      <c r="AD7" s="22">
        <f t="shared" si="1"/>
        <v>1355.7100039924003</v>
      </c>
      <c r="AE7" s="22">
        <f t="shared" si="1"/>
        <v>1355.7084522011523</v>
      </c>
      <c r="AF7" s="22">
        <f t="shared" si="1"/>
        <v>1355.7100643080228</v>
      </c>
      <c r="AG7" s="22">
        <f t="shared" si="1"/>
        <v>1355.7099478489415</v>
      </c>
      <c r="AH7" s="22">
        <f t="shared" si="1"/>
        <v>1355.7100242052766</v>
      </c>
      <c r="AI7" s="22">
        <f t="shared" si="1"/>
        <v>1355.7101462250587</v>
      </c>
      <c r="AJ7" s="22">
        <f t="shared" si="1"/>
        <v>1355.709874373202</v>
      </c>
      <c r="AK7" s="22">
        <f t="shared" si="1"/>
        <v>1355.7083544257819</v>
      </c>
      <c r="AL7" s="22">
        <f t="shared" si="1"/>
        <v>1355.7100083245411</v>
      </c>
      <c r="AM7" s="22">
        <f t="shared" si="1"/>
        <v>1355.710040702994</v>
      </c>
      <c r="AN7" s="22">
        <f t="shared" si="1"/>
        <v>1355.7058789028133</v>
      </c>
      <c r="AO7" s="22">
        <f t="shared" si="1"/>
        <v>1355.7093094293664</v>
      </c>
      <c r="AP7" s="22" t="e">
        <f t="shared" si="1"/>
        <v>#DIV/0!</v>
      </c>
      <c r="AQ7" s="22">
        <f t="shared" si="1"/>
        <v>1355.7100138969909</v>
      </c>
      <c r="AR7" s="22">
        <f t="shared" si="1"/>
        <v>1355.7083128286401</v>
      </c>
      <c r="AS7" s="22">
        <f t="shared" si="1"/>
        <v>1355.7105863857075</v>
      </c>
      <c r="AT7" s="22">
        <f t="shared" si="1"/>
        <v>1355.7099948020846</v>
      </c>
      <c r="AU7" s="22">
        <f t="shared" si="1"/>
        <v>1355.7099911439504</v>
      </c>
      <c r="AV7" s="22">
        <f t="shared" si="1"/>
        <v>1355.7093322999592</v>
      </c>
      <c r="AW7" s="22">
        <f t="shared" si="1"/>
        <v>1355.710015705264</v>
      </c>
      <c r="AX7" s="22">
        <f t="shared" si="1"/>
        <v>1355.71007903918</v>
      </c>
      <c r="AY7" s="22">
        <f t="shared" si="1"/>
        <v>1355.7100197197287</v>
      </c>
      <c r="AZ7" s="76">
        <f>AZ4/AZ5*1000</f>
        <v>1355.7100107801098</v>
      </c>
      <c r="BA7" s="1"/>
      <c r="BB7" s="22">
        <f>BB4/BB5*1000</f>
        <v>1335.1400135305166</v>
      </c>
      <c r="BC7" s="77">
        <f>BC4/BC5*1000</f>
        <v>1373.916272459222</v>
      </c>
      <c r="BD7" s="22">
        <f>BD4/BC5*1000</f>
        <v>0</v>
      </c>
    </row>
    <row r="8" spans="1:56" s="12" customFormat="1" ht="23.25" customHeight="1" hidden="1">
      <c r="A8" s="34" t="s">
        <v>132</v>
      </c>
      <c r="B8" s="36" t="s">
        <v>42</v>
      </c>
      <c r="C8" s="74">
        <v>436.04</v>
      </c>
      <c r="D8" s="74"/>
      <c r="E8" s="74"/>
      <c r="F8" s="74">
        <v>432.773</v>
      </c>
      <c r="G8" s="18"/>
      <c r="H8" s="18">
        <v>0</v>
      </c>
      <c r="I8" s="18">
        <v>16.278</v>
      </c>
      <c r="J8" s="18">
        <v>4135.886</v>
      </c>
      <c r="K8" s="18">
        <v>8489.49</v>
      </c>
      <c r="L8" s="18">
        <v>9897.75</v>
      </c>
      <c r="M8" s="18">
        <v>13431.664</v>
      </c>
      <c r="N8" s="18">
        <v>11036.72</v>
      </c>
      <c r="O8" s="18">
        <v>1023.15</v>
      </c>
      <c r="P8" s="75"/>
      <c r="Q8" s="1"/>
      <c r="R8" s="18">
        <v>1556.79</v>
      </c>
      <c r="S8" s="18">
        <v>509.99</v>
      </c>
      <c r="T8" s="18"/>
      <c r="U8" s="1">
        <f>S8+R8+Q8+P8+O8+N8+M8+L8+K8</f>
        <v>45945.554</v>
      </c>
      <c r="V8" s="75"/>
      <c r="W8" s="18">
        <v>25578.06</v>
      </c>
      <c r="X8" s="18">
        <v>3221.84</v>
      </c>
      <c r="Y8" s="1"/>
      <c r="Z8" s="18">
        <v>2859.71</v>
      </c>
      <c r="AA8" s="18">
        <v>1228.89</v>
      </c>
      <c r="AB8" s="18">
        <v>8796.89</v>
      </c>
      <c r="AC8" s="18">
        <v>5570.55</v>
      </c>
      <c r="AD8" s="18">
        <v>5882.72</v>
      </c>
      <c r="AE8" s="18">
        <v>173.61</v>
      </c>
      <c r="AF8" s="18">
        <v>9789.56</v>
      </c>
      <c r="AG8" s="18">
        <v>4519.64</v>
      </c>
      <c r="AH8" s="18">
        <v>3809.89</v>
      </c>
      <c r="AI8" s="18">
        <v>3599.4</v>
      </c>
      <c r="AJ8" s="18">
        <v>2516.14</v>
      </c>
      <c r="AK8" s="18">
        <v>1999.46</v>
      </c>
      <c r="AL8" s="18">
        <v>12138.04</v>
      </c>
      <c r="AM8" s="18">
        <v>18655.47</v>
      </c>
      <c r="AN8" s="1"/>
      <c r="AO8" s="18">
        <v>15819.12</v>
      </c>
      <c r="AP8" s="18">
        <v>0</v>
      </c>
      <c r="AQ8" s="18">
        <v>50690.37</v>
      </c>
      <c r="AR8" s="1"/>
      <c r="AS8" s="18">
        <v>125834.71</v>
      </c>
      <c r="AT8" s="18">
        <v>68571.75</v>
      </c>
      <c r="AU8" s="18">
        <v>70710.65</v>
      </c>
      <c r="AV8" s="18">
        <v>50848.3</v>
      </c>
      <c r="AW8" s="18">
        <v>7858.47</v>
      </c>
      <c r="AX8" s="18">
        <v>11857.93</v>
      </c>
      <c r="AY8" s="18">
        <v>6321.9</v>
      </c>
      <c r="AZ8" s="18">
        <f>W8+X8+Y8+Z8+AA8+AB8+AC8+AD8+AE8+AF8+AG8+AH8+AI8+AJ8+AK8+AL8+AM8+AN8+AO8+AP8+AQ8+AR8+AS8+AT8+AU8+AV8+AW8+AX8+AY8</f>
        <v>518853.06999999995</v>
      </c>
      <c r="BA8" s="1"/>
      <c r="BB8" s="18">
        <v>7484.55</v>
      </c>
      <c r="BC8" s="21">
        <f>BB8+AZ8+U8+J8+I8+F8+C8</f>
        <v>577304.1510000002</v>
      </c>
      <c r="BD8" s="1"/>
    </row>
    <row r="9" spans="1:56" s="12" customFormat="1" ht="18.75" customHeight="1" hidden="1">
      <c r="A9" s="34"/>
      <c r="B9" s="42" t="s">
        <v>40</v>
      </c>
      <c r="C9" s="75">
        <v>282.176</v>
      </c>
      <c r="D9" s="74"/>
      <c r="E9" s="74"/>
      <c r="F9" s="75">
        <v>284.93</v>
      </c>
      <c r="G9" s="18"/>
      <c r="H9" s="18">
        <f>H11+H14</f>
        <v>2893.7439999999997</v>
      </c>
      <c r="I9" s="1">
        <v>4.248</v>
      </c>
      <c r="J9" s="1">
        <v>2810.45</v>
      </c>
      <c r="K9" s="1">
        <v>6749.423</v>
      </c>
      <c r="L9" s="1">
        <v>7869.035</v>
      </c>
      <c r="M9" s="1">
        <v>10678.611</v>
      </c>
      <c r="N9" s="1">
        <v>8774.555</v>
      </c>
      <c r="O9" s="1">
        <v>813.44</v>
      </c>
      <c r="P9" s="75"/>
      <c r="Q9" s="1"/>
      <c r="R9" s="1">
        <v>1237.695</v>
      </c>
      <c r="S9" s="1">
        <v>405.461</v>
      </c>
      <c r="T9" s="1"/>
      <c r="U9" s="1">
        <f aca="true" t="shared" si="2" ref="U9:U15">S9+R9+Q9+P9+O9+N9+M9+L9+K9</f>
        <v>36528.22</v>
      </c>
      <c r="V9" s="75"/>
      <c r="W9" s="1">
        <v>21074.28</v>
      </c>
      <c r="X9" s="1">
        <v>2654.541</v>
      </c>
      <c r="Y9" s="1"/>
      <c r="Z9" s="1">
        <v>2356.172</v>
      </c>
      <c r="AA9" s="1">
        <v>1012.509</v>
      </c>
      <c r="AB9" s="1">
        <v>7247.93</v>
      </c>
      <c r="AC9" s="1">
        <v>4589.686</v>
      </c>
      <c r="AD9" s="1">
        <v>4846.893</v>
      </c>
      <c r="AE9" s="1">
        <v>143.04</v>
      </c>
      <c r="AF9" s="1">
        <v>8065.817</v>
      </c>
      <c r="AG9" s="1">
        <v>3723.823</v>
      </c>
      <c r="AH9" s="1">
        <v>3139.048</v>
      </c>
      <c r="AI9" s="1">
        <v>2965.62</v>
      </c>
      <c r="AJ9" s="1">
        <v>2073.096</v>
      </c>
      <c r="AK9" s="1">
        <v>1647.394</v>
      </c>
      <c r="AL9" s="1">
        <v>10000.773</v>
      </c>
      <c r="AM9" s="1">
        <v>15370.612</v>
      </c>
      <c r="AN9" s="1"/>
      <c r="AO9" s="1">
        <v>13033.691</v>
      </c>
      <c r="AP9" s="1">
        <v>0</v>
      </c>
      <c r="AQ9" s="1">
        <v>41764.812</v>
      </c>
      <c r="AR9" s="1"/>
      <c r="AS9" s="1">
        <v>103677.737</v>
      </c>
      <c r="AT9" s="1">
        <v>56497.636</v>
      </c>
      <c r="AU9" s="1">
        <v>58259.924</v>
      </c>
      <c r="AV9" s="1">
        <v>41894.931</v>
      </c>
      <c r="AW9" s="1">
        <v>6474.75</v>
      </c>
      <c r="AX9" s="1">
        <v>9769.985</v>
      </c>
      <c r="AY9" s="1">
        <v>5208.741</v>
      </c>
      <c r="AZ9" s="1">
        <f>W9+X9+Y9+Z9+AA9+AB9+AC9+AD9+AE9+AF9+AG9+AH9+AI9+AJ9+AK9+AL9+AM9+AN9+AO9+AP9+AQ9+AR9+AS9+AT9+AU9+AV9+AW9+AX9+AY9</f>
        <v>427493.44099999993</v>
      </c>
      <c r="BA9" s="1"/>
      <c r="BB9" s="51">
        <v>6278.51</v>
      </c>
      <c r="BC9" s="21">
        <f>BB9+AZ9+U9+J9+I9+H9+G9+F9+C9</f>
        <v>476575.719</v>
      </c>
      <c r="BD9" s="1"/>
    </row>
    <row r="10" spans="1:56" s="12" customFormat="1" ht="18" customHeight="1" hidden="1">
      <c r="A10" s="34"/>
      <c r="B10" s="42" t="s">
        <v>41</v>
      </c>
      <c r="C10" s="76">
        <f>C8/C9*1000</f>
        <v>1545.2767067362215</v>
      </c>
      <c r="D10" s="74"/>
      <c r="E10" s="74"/>
      <c r="F10" s="76">
        <f>F8/F9*1000</f>
        <v>1518.8748113571755</v>
      </c>
      <c r="G10" s="18"/>
      <c r="H10" s="18"/>
      <c r="I10" s="1">
        <v>3382.03</v>
      </c>
      <c r="J10" s="1">
        <v>1471.61</v>
      </c>
      <c r="K10" s="1">
        <v>1257.81</v>
      </c>
      <c r="L10" s="1">
        <v>1257.81</v>
      </c>
      <c r="M10" s="1">
        <v>1257.81</v>
      </c>
      <c r="N10" s="1">
        <v>1257.81</v>
      </c>
      <c r="O10" s="1">
        <v>1257.81</v>
      </c>
      <c r="P10" s="75"/>
      <c r="Q10" s="1"/>
      <c r="R10" s="1">
        <v>1257.81</v>
      </c>
      <c r="S10" s="1">
        <v>1257.81</v>
      </c>
      <c r="T10" s="1"/>
      <c r="U10" s="1">
        <v>1257.81</v>
      </c>
      <c r="V10" s="75"/>
      <c r="W10" s="1">
        <v>1213.71</v>
      </c>
      <c r="X10" s="1">
        <v>1213.71</v>
      </c>
      <c r="Y10" s="1"/>
      <c r="Z10" s="1">
        <v>1213.71</v>
      </c>
      <c r="AA10" s="1">
        <v>1213.71</v>
      </c>
      <c r="AB10" s="1">
        <v>1213.71</v>
      </c>
      <c r="AC10" s="1">
        <v>1213.71</v>
      </c>
      <c r="AD10" s="1">
        <v>1213.71</v>
      </c>
      <c r="AE10" s="1">
        <v>1213.71</v>
      </c>
      <c r="AF10" s="1">
        <v>1213.71</v>
      </c>
      <c r="AG10" s="1">
        <v>1213.71</v>
      </c>
      <c r="AH10" s="1">
        <v>1213.71</v>
      </c>
      <c r="AI10" s="1">
        <v>1213.71</v>
      </c>
      <c r="AJ10" s="1">
        <v>1213.71</v>
      </c>
      <c r="AK10" s="1">
        <v>1213.71</v>
      </c>
      <c r="AL10" s="1">
        <v>1213.71</v>
      </c>
      <c r="AM10" s="1">
        <v>1213.71</v>
      </c>
      <c r="AN10" s="1"/>
      <c r="AO10" s="1">
        <v>1213.71</v>
      </c>
      <c r="AP10" s="1">
        <v>0</v>
      </c>
      <c r="AQ10" s="1">
        <v>1213.71</v>
      </c>
      <c r="AR10" s="1"/>
      <c r="AS10" s="1">
        <v>1213.71</v>
      </c>
      <c r="AT10" s="1">
        <v>1213.71</v>
      </c>
      <c r="AU10" s="1">
        <v>1213.71</v>
      </c>
      <c r="AV10" s="1">
        <v>1213.71</v>
      </c>
      <c r="AW10" s="1">
        <v>1213.71</v>
      </c>
      <c r="AX10" s="1">
        <v>1213.71</v>
      </c>
      <c r="AY10" s="1">
        <v>1213.71</v>
      </c>
      <c r="AZ10" s="1">
        <v>1213.71</v>
      </c>
      <c r="BA10" s="1"/>
      <c r="BB10" s="51">
        <v>1192.09</v>
      </c>
      <c r="BC10" s="21">
        <f>BC8/BC9*1000</f>
        <v>1211.3587159063807</v>
      </c>
      <c r="BD10" s="1"/>
    </row>
    <row r="11" spans="1:56" s="12" customFormat="1" ht="25.5" customHeight="1" hidden="1">
      <c r="A11" s="34" t="s">
        <v>133</v>
      </c>
      <c r="B11" s="36" t="s">
        <v>43</v>
      </c>
      <c r="C11" s="18"/>
      <c r="D11" s="74">
        <v>1617.21</v>
      </c>
      <c r="E11" s="74">
        <v>3157.77</v>
      </c>
      <c r="F11" s="74">
        <v>237.087</v>
      </c>
      <c r="G11" s="18"/>
      <c r="H11" s="18">
        <v>2367.79</v>
      </c>
      <c r="I11" s="18">
        <v>617.114</v>
      </c>
      <c r="J11" s="18">
        <v>1291.86</v>
      </c>
      <c r="K11" s="18">
        <v>1358.63</v>
      </c>
      <c r="L11" s="18">
        <v>2229.826</v>
      </c>
      <c r="M11" s="18">
        <v>1316.3</v>
      </c>
      <c r="N11" s="18">
        <v>1033.24</v>
      </c>
      <c r="O11" s="18">
        <v>1140.144</v>
      </c>
      <c r="P11" s="74">
        <v>320.13</v>
      </c>
      <c r="Q11" s="77">
        <v>1088.975362</v>
      </c>
      <c r="R11" s="18">
        <v>820.97</v>
      </c>
      <c r="S11" s="18">
        <v>274.48</v>
      </c>
      <c r="T11" s="18"/>
      <c r="U11" s="1">
        <f t="shared" si="2"/>
        <v>9582.695362000002</v>
      </c>
      <c r="V11" s="75"/>
      <c r="W11" s="18">
        <v>2522.72</v>
      </c>
      <c r="X11" s="1"/>
      <c r="Y11" s="18">
        <v>5134.04</v>
      </c>
      <c r="Z11" s="1"/>
      <c r="AA11" s="18">
        <v>612.3</v>
      </c>
      <c r="AB11" s="18">
        <v>1446.97</v>
      </c>
      <c r="AC11" s="1">
        <v>90.37</v>
      </c>
      <c r="AD11" s="1">
        <v>2405.44</v>
      </c>
      <c r="AE11" s="1"/>
      <c r="AF11" s="18">
        <v>1464.66</v>
      </c>
      <c r="AG11" s="18">
        <v>3036.88</v>
      </c>
      <c r="AH11" s="18">
        <v>1600.28</v>
      </c>
      <c r="AI11" s="18">
        <v>185.43</v>
      </c>
      <c r="AJ11" s="18">
        <v>309.47</v>
      </c>
      <c r="AK11" s="18">
        <v>71.29</v>
      </c>
      <c r="AL11" s="18">
        <v>1186.87</v>
      </c>
      <c r="AM11" s="18">
        <v>7271.02</v>
      </c>
      <c r="AN11" s="18">
        <v>79.9</v>
      </c>
      <c r="AO11" s="18">
        <v>11302.19</v>
      </c>
      <c r="AP11" s="18">
        <v>0</v>
      </c>
      <c r="AQ11" s="18">
        <v>7435.74</v>
      </c>
      <c r="AR11" s="1"/>
      <c r="AS11" s="18">
        <v>7522.83</v>
      </c>
      <c r="AT11" s="18">
        <v>11276.92</v>
      </c>
      <c r="AU11" s="18">
        <v>5133.5</v>
      </c>
      <c r="AV11" s="18">
        <v>13638.89</v>
      </c>
      <c r="AW11" s="18">
        <v>4229.56</v>
      </c>
      <c r="AX11" s="18">
        <v>708.15</v>
      </c>
      <c r="AY11" s="18">
        <v>4252.12</v>
      </c>
      <c r="AZ11" s="18">
        <f>W11+X11+Y11+Z11+AA11+AB11+AC11+AD11+AE11+AF11+AG11+AH11+AI11+AJ11+AK11+AL11+AM11+AN11+AO11+AP11+AQ11+AR11+AS11+AT11+AU11+AV11+AW11+AX11+AY11</f>
        <v>92917.54</v>
      </c>
      <c r="BA11" s="1"/>
      <c r="BB11" s="18">
        <v>1305.19</v>
      </c>
      <c r="BC11" s="21">
        <f>BB11+AZ11+U11+J11+I11+H11+F11+E11+D11</f>
        <v>113094.256362</v>
      </c>
      <c r="BD11" s="1"/>
    </row>
    <row r="12" spans="1:56" s="12" customFormat="1" ht="17.25" customHeight="1" hidden="1">
      <c r="A12" s="34"/>
      <c r="B12" s="42" t="s">
        <v>40</v>
      </c>
      <c r="C12" s="18"/>
      <c r="D12" s="75">
        <v>215.338</v>
      </c>
      <c r="E12" s="75">
        <v>219.68</v>
      </c>
      <c r="F12" s="75">
        <v>148.865</v>
      </c>
      <c r="G12" s="18"/>
      <c r="H12" s="1">
        <v>253.809</v>
      </c>
      <c r="I12" s="1">
        <v>161.041</v>
      </c>
      <c r="J12" s="1">
        <v>877.853</v>
      </c>
      <c r="K12" s="1">
        <v>1080.159</v>
      </c>
      <c r="L12" s="1">
        <v>1772.785</v>
      </c>
      <c r="M12" s="1">
        <v>1046.501</v>
      </c>
      <c r="N12" s="1">
        <v>821.458</v>
      </c>
      <c r="O12" s="1">
        <v>906.452</v>
      </c>
      <c r="P12" s="75">
        <v>242.768</v>
      </c>
      <c r="Q12" s="75">
        <v>827.42</v>
      </c>
      <c r="R12" s="1">
        <v>652.701</v>
      </c>
      <c r="S12" s="1">
        <v>218.217</v>
      </c>
      <c r="T12" s="1"/>
      <c r="U12" s="1">
        <f t="shared" si="2"/>
        <v>7568.460999999999</v>
      </c>
      <c r="V12" s="75"/>
      <c r="W12" s="1">
        <v>2078.52</v>
      </c>
      <c r="X12" s="1"/>
      <c r="Y12" s="1">
        <v>4230.035</v>
      </c>
      <c r="Z12" s="1"/>
      <c r="AA12" s="1">
        <v>504.486</v>
      </c>
      <c r="AB12" s="1">
        <v>1192.185</v>
      </c>
      <c r="AC12" s="1">
        <v>74.457</v>
      </c>
      <c r="AD12" s="1">
        <v>1981.893</v>
      </c>
      <c r="AE12" s="1"/>
      <c r="AF12" s="1">
        <v>1206.762</v>
      </c>
      <c r="AG12" s="1">
        <v>2502.147</v>
      </c>
      <c r="AH12" s="1">
        <v>1318.502</v>
      </c>
      <c r="AI12" s="1">
        <v>152.779</v>
      </c>
      <c r="AJ12" s="1">
        <v>254.976</v>
      </c>
      <c r="AK12" s="1">
        <v>58.739</v>
      </c>
      <c r="AL12" s="1">
        <v>977.886</v>
      </c>
      <c r="AM12" s="1">
        <v>5990.738</v>
      </c>
      <c r="AN12" s="1">
        <v>65.832</v>
      </c>
      <c r="AO12" s="1">
        <v>9312.103</v>
      </c>
      <c r="AP12" s="1">
        <v>0</v>
      </c>
      <c r="AQ12" s="1">
        <v>6126.455</v>
      </c>
      <c r="AR12" s="1"/>
      <c r="AS12" s="1">
        <v>6198.207</v>
      </c>
      <c r="AT12" s="1">
        <v>9291.281</v>
      </c>
      <c r="AU12" s="1">
        <v>4229.593</v>
      </c>
      <c r="AV12" s="1">
        <v>11237.351</v>
      </c>
      <c r="AW12" s="1">
        <v>3484.816</v>
      </c>
      <c r="AX12" s="1">
        <v>583.462</v>
      </c>
      <c r="AY12" s="1">
        <v>3503.403</v>
      </c>
      <c r="AZ12" s="1">
        <f>W12+X12+Y12+Z12+AA12+AB12+AC12+AD12+AE12+AF12+AG12+AH12+AI12+AJ12+AK12+AL12+AM12+AN12+AO12+AP12+AQ12+AR12+AS12+AT12+AU12+AV12+AW12+AX12+AY12</f>
        <v>76556.60800000002</v>
      </c>
      <c r="BA12" s="1"/>
      <c r="BB12" s="1">
        <v>1094.87</v>
      </c>
      <c r="BC12" s="18">
        <f>BB12+AZ12+U12+J12+I12+H12+G12+F12+E12+D12+C12</f>
        <v>87096.52500000001</v>
      </c>
      <c r="BD12" s="1"/>
    </row>
    <row r="13" spans="1:56" s="12" customFormat="1" ht="20.25" customHeight="1" hidden="1">
      <c r="A13" s="34"/>
      <c r="B13" s="42" t="s">
        <v>41</v>
      </c>
      <c r="C13" s="18"/>
      <c r="D13" s="76">
        <f>D11/D12*1000</f>
        <v>7510.100400300923</v>
      </c>
      <c r="E13" s="76">
        <f>E11/E12*1000</f>
        <v>14374.40823015295</v>
      </c>
      <c r="F13" s="76">
        <f>F11/F12*1000</f>
        <v>1592.6309071977964</v>
      </c>
      <c r="G13" s="18"/>
      <c r="H13" s="1">
        <v>9329.04</v>
      </c>
      <c r="I13" s="1">
        <v>3832.03</v>
      </c>
      <c r="J13" s="1">
        <v>1471.61</v>
      </c>
      <c r="K13" s="1">
        <v>1257.81</v>
      </c>
      <c r="L13" s="1">
        <v>1257.81</v>
      </c>
      <c r="M13" s="1">
        <v>1257.81</v>
      </c>
      <c r="N13" s="1">
        <v>1257.81</v>
      </c>
      <c r="O13" s="1">
        <v>1257.81</v>
      </c>
      <c r="P13" s="76">
        <f>P11/P12*1000</f>
        <v>1318.6663810716404</v>
      </c>
      <c r="Q13" s="76">
        <f>Q11/Q12*1000</f>
        <v>1316.10954775084</v>
      </c>
      <c r="R13" s="1">
        <v>1257.81</v>
      </c>
      <c r="S13" s="1">
        <v>1257.81</v>
      </c>
      <c r="T13" s="1"/>
      <c r="U13" s="1">
        <v>1257.81</v>
      </c>
      <c r="V13" s="75"/>
      <c r="W13" s="1">
        <v>1213.71</v>
      </c>
      <c r="X13" s="1"/>
      <c r="Y13" s="1">
        <v>1213.71</v>
      </c>
      <c r="Z13" s="1"/>
      <c r="AA13" s="1">
        <v>1213.71</v>
      </c>
      <c r="AB13" s="1">
        <v>1213.71</v>
      </c>
      <c r="AC13" s="1">
        <v>1213.71</v>
      </c>
      <c r="AD13" s="1">
        <v>1213.71</v>
      </c>
      <c r="AE13" s="1"/>
      <c r="AF13" s="1">
        <v>1213.71</v>
      </c>
      <c r="AG13" s="1">
        <v>1213.71</v>
      </c>
      <c r="AH13" s="1">
        <v>1213.71</v>
      </c>
      <c r="AI13" s="1">
        <v>1213.71</v>
      </c>
      <c r="AJ13" s="1">
        <v>1213.71</v>
      </c>
      <c r="AK13" s="1">
        <v>1213.71</v>
      </c>
      <c r="AL13" s="1">
        <v>1213.71</v>
      </c>
      <c r="AM13" s="1">
        <v>1213.71</v>
      </c>
      <c r="AN13" s="1">
        <v>1213.71</v>
      </c>
      <c r="AO13" s="1">
        <v>1213.71</v>
      </c>
      <c r="AP13" s="1">
        <v>0</v>
      </c>
      <c r="AQ13" s="1">
        <v>1213.71</v>
      </c>
      <c r="AR13" s="1"/>
      <c r="AS13" s="1">
        <v>1213.71</v>
      </c>
      <c r="AT13" s="1">
        <v>1213.71</v>
      </c>
      <c r="AU13" s="1">
        <v>1213.71</v>
      </c>
      <c r="AV13" s="1">
        <v>1213.71</v>
      </c>
      <c r="AW13" s="1">
        <v>1213.71</v>
      </c>
      <c r="AX13" s="1">
        <v>1213.71</v>
      </c>
      <c r="AY13" s="1">
        <v>1213.71</v>
      </c>
      <c r="AZ13" s="1">
        <v>1213.71</v>
      </c>
      <c r="BA13" s="1"/>
      <c r="BB13" s="1">
        <v>1192.09</v>
      </c>
      <c r="BC13" s="21">
        <f>BC11/BC12*1000</f>
        <v>1298.4933252159026</v>
      </c>
      <c r="BD13" s="1"/>
    </row>
    <row r="14" spans="1:56" s="12" customFormat="1" ht="25.5" customHeight="1" hidden="1">
      <c r="A14" s="34" t="s">
        <v>134</v>
      </c>
      <c r="B14" s="36" t="s">
        <v>44</v>
      </c>
      <c r="C14" s="18"/>
      <c r="D14" s="18"/>
      <c r="E14" s="18"/>
      <c r="F14" s="18"/>
      <c r="G14" s="18"/>
      <c r="H14" s="18">
        <v>525.954</v>
      </c>
      <c r="I14" s="18">
        <v>652.087</v>
      </c>
      <c r="J14" s="18">
        <v>60.418</v>
      </c>
      <c r="K14" s="18">
        <v>991.164</v>
      </c>
      <c r="L14" s="18">
        <v>288.666</v>
      </c>
      <c r="M14" s="18">
        <v>1083.5</v>
      </c>
      <c r="N14" s="18">
        <v>568.949</v>
      </c>
      <c r="O14" s="1"/>
      <c r="P14" s="1"/>
      <c r="Q14" s="77">
        <v>7.0543496</v>
      </c>
      <c r="R14" s="18">
        <v>297.49</v>
      </c>
      <c r="S14" s="18">
        <v>3.5</v>
      </c>
      <c r="T14" s="18"/>
      <c r="U14" s="1">
        <f t="shared" si="2"/>
        <v>3240.3233496000003</v>
      </c>
      <c r="V14" s="75"/>
      <c r="W14" s="18">
        <v>3098.32</v>
      </c>
      <c r="X14" s="18">
        <v>82.89</v>
      </c>
      <c r="Y14" s="1"/>
      <c r="Z14" s="18">
        <v>563.68</v>
      </c>
      <c r="AA14" s="18">
        <v>49.1</v>
      </c>
      <c r="AB14" s="18">
        <v>1201.5</v>
      </c>
      <c r="AC14" s="18">
        <v>925.64</v>
      </c>
      <c r="AD14" s="18">
        <v>2627.02</v>
      </c>
      <c r="AE14" s="1"/>
      <c r="AF14" s="18">
        <v>1926.54</v>
      </c>
      <c r="AG14" s="18">
        <v>2349.23</v>
      </c>
      <c r="AH14" s="18">
        <v>1785.19</v>
      </c>
      <c r="AI14" s="18">
        <v>1657.1</v>
      </c>
      <c r="AJ14" s="18">
        <v>421.24</v>
      </c>
      <c r="AK14" s="18">
        <v>50.47</v>
      </c>
      <c r="AL14" s="18">
        <v>1180.05</v>
      </c>
      <c r="AM14" s="18">
        <v>3452.69</v>
      </c>
      <c r="AN14" s="1"/>
      <c r="AO14" s="18">
        <v>6360.31</v>
      </c>
      <c r="AP14" s="18">
        <v>0</v>
      </c>
      <c r="AQ14" s="18">
        <v>4672.71</v>
      </c>
      <c r="AR14" s="18">
        <v>551.85</v>
      </c>
      <c r="AS14" s="18">
        <v>7244.37</v>
      </c>
      <c r="AT14" s="18">
        <v>3619.59</v>
      </c>
      <c r="AU14" s="18">
        <v>7163.03</v>
      </c>
      <c r="AV14" s="18">
        <v>7666.25</v>
      </c>
      <c r="AW14" s="18">
        <v>2987.69</v>
      </c>
      <c r="AX14" s="18">
        <v>222.63</v>
      </c>
      <c r="AY14" s="18">
        <v>253.78</v>
      </c>
      <c r="AZ14" s="18">
        <f>W14+X14+Y14+Z14+AA14+AB14+AC14+AD14+AE14+AF14+AG14+AH14+AI14+AJ14+AK14+AL14+AM14+AN14+AO14+AP14+AQ14+AR14+AS14+AT14+AU14+AV14+AW14+AX14+AY14</f>
        <v>62112.87</v>
      </c>
      <c r="BA14" s="1"/>
      <c r="BB14" s="18">
        <v>2453.53</v>
      </c>
      <c r="BC14" s="21">
        <f>BB14+AZ14+U14+J14+I14+H14+G14+F14+E14+D14+C14</f>
        <v>69045.1823496</v>
      </c>
      <c r="BD14" s="1"/>
    </row>
    <row r="15" spans="1:57" s="12" customFormat="1" ht="18.75" customHeight="1" hidden="1">
      <c r="A15" s="34"/>
      <c r="B15" s="42" t="s">
        <v>40</v>
      </c>
      <c r="C15" s="18"/>
      <c r="D15" s="18"/>
      <c r="E15" s="18"/>
      <c r="F15" s="18"/>
      <c r="G15" s="18"/>
      <c r="H15" s="1">
        <v>56.389</v>
      </c>
      <c r="I15" s="1">
        <v>170.371</v>
      </c>
      <c r="J15" s="1">
        <v>41.056</v>
      </c>
      <c r="K15" s="1">
        <v>788.01</v>
      </c>
      <c r="L15" s="1">
        <v>229.499</v>
      </c>
      <c r="M15" s="1">
        <v>561.414</v>
      </c>
      <c r="N15" s="1">
        <v>452.333</v>
      </c>
      <c r="O15" s="1"/>
      <c r="P15" s="1"/>
      <c r="Q15" s="75">
        <v>5.36</v>
      </c>
      <c r="R15" s="1">
        <v>236.515</v>
      </c>
      <c r="S15" s="1">
        <v>2.782</v>
      </c>
      <c r="T15" s="1"/>
      <c r="U15" s="1">
        <f t="shared" si="2"/>
        <v>2275.913</v>
      </c>
      <c r="V15" s="75"/>
      <c r="W15" s="1">
        <v>2552.77</v>
      </c>
      <c r="X15" s="1">
        <v>68.296</v>
      </c>
      <c r="Y15" s="1"/>
      <c r="Z15" s="1">
        <v>464.424</v>
      </c>
      <c r="AA15" s="1">
        <v>40.454</v>
      </c>
      <c r="AB15" s="1">
        <v>989.939</v>
      </c>
      <c r="AC15" s="1">
        <v>762.653</v>
      </c>
      <c r="AD15" s="1">
        <v>2164.454</v>
      </c>
      <c r="AE15" s="1"/>
      <c r="AF15" s="1">
        <v>1587.315</v>
      </c>
      <c r="AG15" s="1">
        <v>1935.575</v>
      </c>
      <c r="AH15" s="1">
        <v>1470.855</v>
      </c>
      <c r="AI15" s="1">
        <v>1365.319</v>
      </c>
      <c r="AJ15" s="1">
        <v>347.068</v>
      </c>
      <c r="AK15" s="1">
        <v>41.582</v>
      </c>
      <c r="AL15" s="1">
        <v>972.267</v>
      </c>
      <c r="AM15" s="1">
        <v>2844.741</v>
      </c>
      <c r="AN15" s="1"/>
      <c r="AO15" s="1">
        <v>5240.384</v>
      </c>
      <c r="AP15" s="1">
        <v>0</v>
      </c>
      <c r="AQ15" s="1">
        <v>3849.937</v>
      </c>
      <c r="AR15" s="1">
        <v>454.682</v>
      </c>
      <c r="AS15" s="1">
        <v>5968.78</v>
      </c>
      <c r="AT15" s="1">
        <v>2982.251</v>
      </c>
      <c r="AU15" s="1">
        <v>5901.762</v>
      </c>
      <c r="AV15" s="1">
        <v>6316.38</v>
      </c>
      <c r="AW15" s="1">
        <v>2461.618</v>
      </c>
      <c r="AX15" s="1">
        <v>183.426</v>
      </c>
      <c r="AY15" s="1">
        <v>209.091</v>
      </c>
      <c r="AZ15" s="1">
        <f>W15+X15+Y15+Z15+AA15+AB15+AC15+AD15+AE15+AF15+AG15+AH15+AI15+AJ15+AK15+AL15+AM15+AN15+AO15+AP15+AQ15+AR15+AS15+AT15+AU15+AV15+AW15+AX15+AY15</f>
        <v>51176.023</v>
      </c>
      <c r="BA15" s="1"/>
      <c r="BB15" s="1">
        <v>2058.175</v>
      </c>
      <c r="BC15" s="18">
        <f>BB15+AZ15+U15+J15+I15+H15+G15+F15+E15+D15+C15</f>
        <v>55777.927</v>
      </c>
      <c r="BD15" s="1"/>
      <c r="BE15" s="12">
        <v>838770.37</v>
      </c>
    </row>
    <row r="16" spans="1:57" s="12" customFormat="1" ht="15.75" customHeight="1" hidden="1">
      <c r="A16" s="34"/>
      <c r="B16" s="42" t="s">
        <v>41</v>
      </c>
      <c r="C16" s="18"/>
      <c r="D16" s="18"/>
      <c r="E16" s="18"/>
      <c r="F16" s="18"/>
      <c r="G16" s="18"/>
      <c r="H16" s="1" t="s">
        <v>115</v>
      </c>
      <c r="I16" s="1">
        <v>3832.03</v>
      </c>
      <c r="J16" s="1">
        <v>1471.61</v>
      </c>
      <c r="K16" s="1">
        <v>1257.81</v>
      </c>
      <c r="L16" s="1">
        <v>1257.81</v>
      </c>
      <c r="M16" s="1">
        <v>1257.81</v>
      </c>
      <c r="N16" s="1">
        <v>1257.81</v>
      </c>
      <c r="O16" s="1"/>
      <c r="P16" s="1"/>
      <c r="Q16" s="76">
        <f>Q14/Q15*1000</f>
        <v>1316.11</v>
      </c>
      <c r="R16" s="1">
        <v>1257.81</v>
      </c>
      <c r="S16" s="1">
        <v>1257.81</v>
      </c>
      <c r="T16" s="1"/>
      <c r="U16" s="1">
        <v>1257.81</v>
      </c>
      <c r="V16" s="75"/>
      <c r="W16" s="1">
        <v>1213.71</v>
      </c>
      <c r="X16" s="1">
        <v>1213.71</v>
      </c>
      <c r="Y16" s="1"/>
      <c r="Z16" s="1">
        <v>1213.71</v>
      </c>
      <c r="AA16" s="1">
        <v>1213.71</v>
      </c>
      <c r="AB16" s="1">
        <v>1213.71</v>
      </c>
      <c r="AC16" s="1">
        <v>1213.71</v>
      </c>
      <c r="AD16" s="1">
        <v>1213.71</v>
      </c>
      <c r="AE16" s="1"/>
      <c r="AF16" s="1">
        <v>1213.71</v>
      </c>
      <c r="AG16" s="1">
        <v>1213.71</v>
      </c>
      <c r="AH16" s="1">
        <v>1213.71</v>
      </c>
      <c r="AI16" s="1">
        <v>1213.71</v>
      </c>
      <c r="AJ16" s="1">
        <v>1213.71</v>
      </c>
      <c r="AK16" s="1">
        <v>1213.71</v>
      </c>
      <c r="AL16" s="1">
        <v>1213.71</v>
      </c>
      <c r="AM16" s="1">
        <v>1213.71</v>
      </c>
      <c r="AN16" s="1"/>
      <c r="AO16" s="1">
        <v>1213.71</v>
      </c>
      <c r="AP16" s="1">
        <v>0</v>
      </c>
      <c r="AQ16" s="1">
        <v>1213.71</v>
      </c>
      <c r="AR16" s="1">
        <v>1213.71</v>
      </c>
      <c r="AS16" s="1">
        <v>1213.71</v>
      </c>
      <c r="AT16" s="1">
        <v>1213.71</v>
      </c>
      <c r="AU16" s="1">
        <v>1213.71</v>
      </c>
      <c r="AV16" s="1">
        <v>1213.71</v>
      </c>
      <c r="AW16" s="1">
        <v>1213.71</v>
      </c>
      <c r="AX16" s="1">
        <v>1213.71</v>
      </c>
      <c r="AY16" s="1">
        <v>1213.71</v>
      </c>
      <c r="AZ16" s="1">
        <v>1213.71</v>
      </c>
      <c r="BA16" s="1"/>
      <c r="BB16" s="1">
        <v>1192.09</v>
      </c>
      <c r="BC16" s="21">
        <f>BC14/BC15*1000</f>
        <v>1237.85852331156</v>
      </c>
      <c r="BD16" s="1"/>
      <c r="BE16" s="73">
        <f>BE15-BC17</f>
        <v>364107.031332</v>
      </c>
    </row>
    <row r="17" spans="1:59" s="12" customFormat="1" ht="18" customHeight="1">
      <c r="A17" s="45"/>
      <c r="B17" s="88" t="s">
        <v>167</v>
      </c>
      <c r="C17" s="68">
        <f>C18+C22+C29+C32+C35+C38+C40+C41+C47+C49+C50+C51+C52+C53</f>
        <v>248.08598</v>
      </c>
      <c r="D17" s="68">
        <f>D18+D22+D29+D32+D35+D38+D40+D41+D47+D49+D50+D51+D52+D53</f>
        <v>800.26154</v>
      </c>
      <c r="E17" s="68">
        <f>E18+E22+E29+E32+E35+E38+E40+E41+E47+E49+E50+E51+E52+E53</f>
        <v>1257.17776</v>
      </c>
      <c r="F17" s="68">
        <f>F18+F22+F29+F32+F35+F38+F40+F41+F47+F49+F50+F51+F52+F53+F44+F45</f>
        <v>1495.4594200000001</v>
      </c>
      <c r="G17" s="68">
        <f>G18+G22+G29+G32+G35+G38+G40+G41+G47+G49+G50+G51+G52+G53</f>
        <v>126.59356000000001</v>
      </c>
      <c r="H17" s="68">
        <f>H18+H22+H29+H32+H35+H38+H40+H41+H47+H49+H50+H51+H52+H53</f>
        <v>1587.2678799999999</v>
      </c>
      <c r="I17" s="68">
        <f>I18+I22+I29+I32+I35+I38+I40+I41+I47+I49+I50+I51+I52+I53</f>
        <v>201.06568999999996</v>
      </c>
      <c r="J17" s="68">
        <f>J18+J22+J29+J32+J35+J38+J40+J41+J47+J49+J50+J51+J52+J53+J44+J45</f>
        <v>3601.4759</v>
      </c>
      <c r="K17" s="70">
        <f>K18+K29+K32+K35+K38+K40+K41+K47+K49+K50+K51+K52+K53+K44+K45</f>
        <v>7987.10886</v>
      </c>
      <c r="L17" s="70">
        <f>L18+L29+L32+L35+L38+L40+L41+L47+L49+L50+L51+L52+L53+L44+L45</f>
        <v>8210.48858</v>
      </c>
      <c r="M17" s="70">
        <f>M18+M29+M32+M35+M38+M40+M41+M47+M49+M50+M51+M52+M53+M44+M45</f>
        <v>9753.99786</v>
      </c>
      <c r="N17" s="70">
        <f>N18+N29+N32+N35+N38+N40+N41+N47+N49+N50+N51+N52+N53+N44+N45</f>
        <v>6960.6550799999995</v>
      </c>
      <c r="O17" s="70">
        <f>O18+O29+O32+O35+O38+O40+O41+O47+O49+O50+O51+O52+O53+O44+O45</f>
        <v>1309.10532</v>
      </c>
      <c r="P17" s="70">
        <f>P18+P29+P32+P35+P38+P40+P41+P47+P49+P50+P51+P52+P53</f>
        <v>458.26570000000004</v>
      </c>
      <c r="Q17" s="70">
        <f>Q18+Q29+Q32+Q35+Q38+Q40+Q41+Q47+Q49+Q50+Q51+Q52+Q53</f>
        <v>1134.2119599999999</v>
      </c>
      <c r="R17" s="70">
        <f>R18+R29+R32+R35+R38+R40+R41+R47+R49+R50+R51+R52+R53+R44+R45</f>
        <v>3334.3341999999993</v>
      </c>
      <c r="S17" s="70">
        <f>S18+S29+S32+S35+S38+S40+S41+S47+S49+S50+S51+S52+S53</f>
        <v>750.98695</v>
      </c>
      <c r="T17" s="70">
        <f>T18+T29+T32+T35+T38+T40+T41+T47+T49+T50+T51+T52+T53</f>
        <v>87.72180000000002</v>
      </c>
      <c r="U17" s="70">
        <f>U18+U22+U29+U32+U35+U38+U40+U41+U44+U45+U47+U49+U50+U51+U52+U53</f>
        <v>39986.87630999999</v>
      </c>
      <c r="V17" s="78"/>
      <c r="W17" s="58">
        <f>W18+W22+W29+W32+W35+W38+W40+W41+W47+W49+W50+W51+W52+W53+W44+W45</f>
        <v>21207.37763</v>
      </c>
      <c r="X17" s="58">
        <f>X18+X29+X32+X35+X38+X40+X41+X47+X49+X50+X51+X52+X53</f>
        <v>2390.7549600000007</v>
      </c>
      <c r="Y17" s="58">
        <f aca="true" t="shared" si="3" ref="Y17:AD17">Y18+Y29+Y32+Y35+Y38+Y40+Y41+Y47+Y49+Y50+Y51+Y52+Y53+Y44+Y45</f>
        <v>4280.6884</v>
      </c>
      <c r="Z17" s="58">
        <f t="shared" si="3"/>
        <v>2618.6367</v>
      </c>
      <c r="AA17" s="58">
        <f t="shared" si="3"/>
        <v>2366.1887099999994</v>
      </c>
      <c r="AB17" s="58">
        <f t="shared" si="3"/>
        <v>7724.851460000001</v>
      </c>
      <c r="AC17" s="58">
        <f t="shared" si="3"/>
        <v>4165.8679600000005</v>
      </c>
      <c r="AD17" s="58">
        <f t="shared" si="3"/>
        <v>8536.02034</v>
      </c>
      <c r="AE17" s="58">
        <f>AE29+AE32+AE35+AE38+AE40+AE41+AE47+AE49+AE50+AE51+AE52+AE53</f>
        <v>489.0133200000001</v>
      </c>
      <c r="AF17" s="58">
        <f aca="true" t="shared" si="4" ref="AF17:AO17">AF18+AF29+AF32+AF35+AF38+AF40+AF41+AF47+AF49+AF50+AF51+AF52+AF53+AF44+AF45</f>
        <v>10764.61965</v>
      </c>
      <c r="AG17" s="58">
        <f t="shared" si="4"/>
        <v>6387.35994</v>
      </c>
      <c r="AH17" s="58">
        <f t="shared" si="4"/>
        <v>5569.485190000001</v>
      </c>
      <c r="AI17" s="58">
        <f t="shared" si="4"/>
        <v>3715.65694</v>
      </c>
      <c r="AJ17" s="58">
        <f t="shared" si="4"/>
        <v>2197.4026900000003</v>
      </c>
      <c r="AK17" s="58">
        <f t="shared" si="4"/>
        <v>2714.0130599999993</v>
      </c>
      <c r="AL17" s="58">
        <f t="shared" si="4"/>
        <v>8079.1064099999985</v>
      </c>
      <c r="AM17" s="58">
        <f t="shared" si="4"/>
        <v>21142.634109999995</v>
      </c>
      <c r="AN17" s="58">
        <f t="shared" si="4"/>
        <v>1255.9621800000002</v>
      </c>
      <c r="AO17" s="58">
        <f t="shared" si="4"/>
        <v>20013.683519999995</v>
      </c>
      <c r="AP17" s="58">
        <f>AP18+AP29+AP32+AP35+AP38+AP40+AP41+AP47+AP49+AP50+AP51+AP52+AP53</f>
        <v>180.35407999999998</v>
      </c>
      <c r="AQ17" s="58">
        <f>AQ18+AQ29+AQ32+AQ35+AQ38+AQ40+AQ41+AQ47+AQ49+AQ50+AQ51+AQ52+AQ53+AQ44+AQ45</f>
        <v>26880.665680000002</v>
      </c>
      <c r="AR17" s="58">
        <f>AR18+AR29+AR32+AR35+AR38+AR40+AR41+AR47+AR49+AR50+AR51+AR52+AR53</f>
        <v>163.61036</v>
      </c>
      <c r="AS17" s="71">
        <f>AS18+AS22+AS29+AS32+AS35+AS38+AS40+AS41+AS47+AS49+AS50+AS51+AS52+AS53+AS44+AS45</f>
        <v>74332.42779999998</v>
      </c>
      <c r="AT17" s="58">
        <f>AT23+AT32+AT40+AT41+AT47+AT49+AT50+AT51+AT52+AT53+AT44+AT45</f>
        <v>46843.83035999999</v>
      </c>
      <c r="AU17" s="58">
        <f>AU23+AU32+AU40+AU41+AU47+AU49+AU50+AU51+AU52+AU53+AU44+AU45</f>
        <v>46725.773259999994</v>
      </c>
      <c r="AV17" s="58">
        <f>AV23+AV32+AV40+AV41+AV47+AV49+AV50+AV51+AV52+AV53+AV44+AV45</f>
        <v>41160.41404</v>
      </c>
      <c r="AW17" s="58">
        <f>AW23+AW32+AW40+AW41+AW47+AW49+AW50+AW51+AW52+AW53+AW44+AW45</f>
        <v>31504.76278</v>
      </c>
      <c r="AX17" s="58">
        <f>AX26+AX40+AX41+AX47+AX49+AX50+AX51+AX52+AX53</f>
        <v>7190.9</v>
      </c>
      <c r="AY17" s="58">
        <f>AY23+AY32+AY40+AY41+AY47+AY49+AY50+AY51+AY52+AY53</f>
        <v>5466.1748179999995</v>
      </c>
      <c r="AZ17" s="68">
        <f>AZ18+AZ22+AZ29+AZ32+AZ35+AZ38+AZ40+AZ41+AZ47+AZ49+AZ50+AZ51+AZ52+AZ53+AZ44+AZ45</f>
        <v>416068.236348</v>
      </c>
      <c r="BA17" s="47"/>
      <c r="BB17" s="68">
        <f>BB18+BB22+BB29+BB32+BB35+BB38+BB40+BB41+BB47+BB49+BB50+BB51+BB52+BB53+BB44+BB45</f>
        <v>9290.83828</v>
      </c>
      <c r="BC17" s="68">
        <f>BB17+AZ17+U17+J17+I17+H17+G17+F17+E17+D17+C17</f>
        <v>474663.338668</v>
      </c>
      <c r="BD17" s="69">
        <f>BC18+BC22+BC29+BC32+BC35+BC38+BC40+BC41+BC44+BC45+BC47+BC49+BC50+BC51+BC52+BC53</f>
        <v>474663.33866799995</v>
      </c>
      <c r="BE17" s="73"/>
      <c r="BG17" s="73"/>
    </row>
    <row r="18" spans="1:59" ht="15" customHeight="1">
      <c r="A18" s="1">
        <v>2</v>
      </c>
      <c r="B18" s="18" t="s">
        <v>45</v>
      </c>
      <c r="C18" s="13">
        <f>C19</f>
        <v>121.199</v>
      </c>
      <c r="D18" s="2">
        <v>0</v>
      </c>
      <c r="E18" s="2">
        <v>0</v>
      </c>
      <c r="F18" s="13">
        <f>F19</f>
        <v>456.42</v>
      </c>
      <c r="G18" s="13">
        <f>G19</f>
        <v>47.655</v>
      </c>
      <c r="H18" s="2">
        <v>0</v>
      </c>
      <c r="I18" s="28">
        <f aca="true" t="shared" si="5" ref="I18:T18">I19</f>
        <v>33.75</v>
      </c>
      <c r="J18" s="13">
        <f t="shared" si="5"/>
        <v>1768.02</v>
      </c>
      <c r="K18" s="2">
        <f t="shared" si="5"/>
        <v>4348.937</v>
      </c>
      <c r="L18" s="2">
        <f t="shared" si="5"/>
        <v>4807.933</v>
      </c>
      <c r="M18" s="2">
        <f t="shared" si="5"/>
        <v>5934.338</v>
      </c>
      <c r="N18" s="2">
        <f t="shared" si="5"/>
        <v>4212.013</v>
      </c>
      <c r="O18" s="2">
        <f t="shared" si="5"/>
        <v>396.331</v>
      </c>
      <c r="P18" s="2">
        <f t="shared" si="5"/>
        <v>125.492</v>
      </c>
      <c r="Q18" s="2">
        <f t="shared" si="5"/>
        <v>337.71</v>
      </c>
      <c r="R18" s="2">
        <f t="shared" si="5"/>
        <v>1504.119</v>
      </c>
      <c r="S18" s="2">
        <f t="shared" si="5"/>
        <v>348.465</v>
      </c>
      <c r="T18" s="2">
        <f t="shared" si="5"/>
        <v>37.301</v>
      </c>
      <c r="U18" s="13">
        <f>K18+L18+M18+N18+O18+P18+Q18+R18+S18+T18</f>
        <v>22052.638999999992</v>
      </c>
      <c r="V18" s="63"/>
      <c r="W18" s="2">
        <f aca="true" t="shared" si="6" ref="W18:AD18">W19</f>
        <v>11156.526</v>
      </c>
      <c r="X18" s="2">
        <f t="shared" si="6"/>
        <v>1319.389</v>
      </c>
      <c r="Y18" s="2">
        <f t="shared" si="6"/>
        <v>1703.886</v>
      </c>
      <c r="Z18" s="2">
        <f t="shared" si="6"/>
        <v>1209.83</v>
      </c>
      <c r="AA18" s="2">
        <f t="shared" si="6"/>
        <v>1262.079</v>
      </c>
      <c r="AB18" s="2">
        <f t="shared" si="6"/>
        <v>4216.892</v>
      </c>
      <c r="AC18" s="2">
        <f t="shared" si="6"/>
        <v>1728.604</v>
      </c>
      <c r="AD18" s="2">
        <f t="shared" si="6"/>
        <v>3619.945</v>
      </c>
      <c r="AE18" s="2"/>
      <c r="AF18" s="2">
        <f aca="true" t="shared" si="7" ref="AF18:AR18">AF19</f>
        <v>5221.884</v>
      </c>
      <c r="AG18" s="2">
        <f t="shared" si="7"/>
        <v>2764.193</v>
      </c>
      <c r="AH18" s="2">
        <f t="shared" si="7"/>
        <v>3138.45</v>
      </c>
      <c r="AI18" s="2">
        <f t="shared" si="7"/>
        <v>2098.878</v>
      </c>
      <c r="AJ18" s="2">
        <f t="shared" si="7"/>
        <v>1234.877</v>
      </c>
      <c r="AK18" s="2">
        <f t="shared" si="7"/>
        <v>1183.305</v>
      </c>
      <c r="AL18" s="2">
        <f t="shared" si="7"/>
        <v>4740.249</v>
      </c>
      <c r="AM18" s="2">
        <f t="shared" si="7"/>
        <v>11681.101</v>
      </c>
      <c r="AN18" s="2">
        <f t="shared" si="7"/>
        <v>51.09</v>
      </c>
      <c r="AO18" s="2">
        <f t="shared" si="7"/>
        <v>12415.456</v>
      </c>
      <c r="AP18" s="2">
        <f t="shared" si="7"/>
        <v>0</v>
      </c>
      <c r="AQ18" s="2">
        <f t="shared" si="7"/>
        <v>15180.708</v>
      </c>
      <c r="AR18" s="2">
        <f t="shared" si="7"/>
        <v>72.555</v>
      </c>
      <c r="AS18" s="2"/>
      <c r="AT18" s="2"/>
      <c r="AU18" s="2"/>
      <c r="AV18" s="2"/>
      <c r="AW18" s="2"/>
      <c r="AX18" s="2"/>
      <c r="AY18" s="2"/>
      <c r="AZ18" s="13">
        <f>AZ19</f>
        <v>85999.89699999998</v>
      </c>
      <c r="BA18" s="2">
        <f>W18+X18+Y18+Z18+AA18+AB18+AC18+AD18+AE18+AF18+AG18+AH18+AI18+AJ18+AK18+AL18+AM18+AN18+AO18+AP18+AQ18+AR18</f>
        <v>85999.89699999998</v>
      </c>
      <c r="BB18" s="13">
        <f>BB19</f>
        <v>4451.429</v>
      </c>
      <c r="BC18" s="86">
        <f>BB18+AZ18+U18+J18+I18+H18+G18+F18+E18+D18+C18</f>
        <v>114931.00899999998</v>
      </c>
      <c r="BD18" s="2"/>
      <c r="BF18" s="20"/>
      <c r="BG18" s="19"/>
    </row>
    <row r="19" spans="1:58" ht="15.75">
      <c r="A19" s="3"/>
      <c r="B19" s="4" t="s">
        <v>6</v>
      </c>
      <c r="C19" s="2">
        <v>121.199</v>
      </c>
      <c r="D19" s="2">
        <v>0</v>
      </c>
      <c r="E19" s="2">
        <v>0</v>
      </c>
      <c r="F19" s="2">
        <v>456.42</v>
      </c>
      <c r="G19" s="13">
        <v>47.655</v>
      </c>
      <c r="H19" s="2">
        <v>0</v>
      </c>
      <c r="I19" s="13">
        <v>33.75</v>
      </c>
      <c r="J19" s="13">
        <v>1768.02</v>
      </c>
      <c r="K19" s="2">
        <v>4348.937</v>
      </c>
      <c r="L19" s="2">
        <v>4807.933</v>
      </c>
      <c r="M19" s="2">
        <v>5934.338</v>
      </c>
      <c r="N19" s="2">
        <v>4212.013</v>
      </c>
      <c r="O19" s="2">
        <v>396.331</v>
      </c>
      <c r="P19" s="2">
        <v>125.492</v>
      </c>
      <c r="Q19" s="2">
        <v>337.71</v>
      </c>
      <c r="R19" s="2">
        <v>1504.119</v>
      </c>
      <c r="S19" s="2">
        <v>348.465</v>
      </c>
      <c r="T19" s="2">
        <v>37.301</v>
      </c>
      <c r="U19" s="13">
        <f>V19</f>
        <v>22052.638999999992</v>
      </c>
      <c r="V19" s="63">
        <f>K19+L19+M19+N19+O19+P19+Q19+R19+S19+T19</f>
        <v>22052.638999999992</v>
      </c>
      <c r="W19" s="2">
        <v>11156.526</v>
      </c>
      <c r="X19" s="2">
        <v>1319.389</v>
      </c>
      <c r="Y19" s="2">
        <v>1703.886</v>
      </c>
      <c r="Z19" s="2">
        <v>1209.83</v>
      </c>
      <c r="AA19" s="2">
        <v>1262.079</v>
      </c>
      <c r="AB19" s="2">
        <v>4216.892</v>
      </c>
      <c r="AC19" s="2">
        <v>1728.604</v>
      </c>
      <c r="AD19" s="2">
        <v>3619.945</v>
      </c>
      <c r="AE19" s="2"/>
      <c r="AF19" s="2">
        <v>5221.884</v>
      </c>
      <c r="AG19" s="2">
        <v>2764.193</v>
      </c>
      <c r="AH19" s="2">
        <v>3138.45</v>
      </c>
      <c r="AI19" s="2">
        <v>2098.878</v>
      </c>
      <c r="AJ19" s="2">
        <v>1234.877</v>
      </c>
      <c r="AK19" s="2">
        <v>1183.305</v>
      </c>
      <c r="AL19" s="2">
        <v>4740.249</v>
      </c>
      <c r="AM19" s="2">
        <v>11681.101</v>
      </c>
      <c r="AN19" s="2">
        <v>51.09</v>
      </c>
      <c r="AO19" s="2">
        <v>12415.456</v>
      </c>
      <c r="AP19" s="2"/>
      <c r="AQ19" s="2">
        <v>15180.708</v>
      </c>
      <c r="AR19" s="2">
        <v>72.555</v>
      </c>
      <c r="AS19" s="2"/>
      <c r="AT19" s="2"/>
      <c r="AU19" s="2"/>
      <c r="AV19" s="2"/>
      <c r="AW19" s="2"/>
      <c r="AX19" s="2"/>
      <c r="AY19" s="2"/>
      <c r="AZ19" s="13">
        <f>BA19</f>
        <v>85999.89699999998</v>
      </c>
      <c r="BA19" s="2">
        <f>W19+X19+Y19+Z19+AA19+AB19+AC19+AD19+AF19+AG19+AH19+AI19+AJ19+AK19+AL19+AM19+AN19+AO19+AP19+AQ19+AR19</f>
        <v>85999.89699999998</v>
      </c>
      <c r="BB19" s="13">
        <v>4451.429</v>
      </c>
      <c r="BC19" s="13">
        <f>BB19+AZ19+U19+J19+I19+H19+G19+F19+E19+D19+C19</f>
        <v>114931.00899999998</v>
      </c>
      <c r="BD19" s="2"/>
      <c r="BF19" s="20"/>
    </row>
    <row r="20" spans="1:58" ht="15.75">
      <c r="A20" s="44"/>
      <c r="B20" s="4" t="s">
        <v>96</v>
      </c>
      <c r="C20" s="2">
        <v>28.589</v>
      </c>
      <c r="D20" s="2"/>
      <c r="E20" s="2"/>
      <c r="F20" s="2">
        <v>108.343</v>
      </c>
      <c r="G20" s="13">
        <v>10.35</v>
      </c>
      <c r="H20" s="2"/>
      <c r="I20" s="13">
        <v>7.956</v>
      </c>
      <c r="J20" s="13">
        <v>419.243</v>
      </c>
      <c r="K20" s="2">
        <v>1038.959</v>
      </c>
      <c r="L20" s="2">
        <v>1148.769</v>
      </c>
      <c r="M20" s="2">
        <v>1419.5</v>
      </c>
      <c r="N20" s="2">
        <v>1005.994</v>
      </c>
      <c r="O20" s="2">
        <v>93.965</v>
      </c>
      <c r="P20" s="2">
        <v>29.599</v>
      </c>
      <c r="Q20" s="2">
        <v>80.272</v>
      </c>
      <c r="R20" s="2">
        <v>356.895</v>
      </c>
      <c r="S20" s="2">
        <v>82.196</v>
      </c>
      <c r="T20" s="2">
        <v>10.94</v>
      </c>
      <c r="U20" s="13">
        <f>K20+L20+M20+N20+O20+P20+Q20+R20+S20+T20</f>
        <v>5267.088999999999</v>
      </c>
      <c r="V20" s="63">
        <f>U20</f>
        <v>5267.088999999999</v>
      </c>
      <c r="W20" s="2">
        <v>2674.12</v>
      </c>
      <c r="X20" s="2">
        <v>312.844</v>
      </c>
      <c r="Y20" s="2">
        <v>404.896</v>
      </c>
      <c r="Z20" s="2">
        <v>286.828</v>
      </c>
      <c r="AA20" s="2">
        <v>299.121</v>
      </c>
      <c r="AB20" s="2">
        <v>1010.177</v>
      </c>
      <c r="AC20" s="2">
        <v>409.831</v>
      </c>
      <c r="AD20" s="2">
        <v>867.405</v>
      </c>
      <c r="AE20" s="2"/>
      <c r="AF20" s="2">
        <v>1252.226</v>
      </c>
      <c r="AG20" s="2">
        <v>661.897</v>
      </c>
      <c r="AH20" s="2">
        <v>751.445</v>
      </c>
      <c r="AI20" s="2">
        <v>504.204</v>
      </c>
      <c r="AJ20" s="2">
        <v>292.792</v>
      </c>
      <c r="AK20" s="2">
        <v>281.047</v>
      </c>
      <c r="AL20" s="2">
        <v>1134.944</v>
      </c>
      <c r="AM20" s="2">
        <v>2798.496</v>
      </c>
      <c r="AN20" s="2">
        <v>12.112</v>
      </c>
      <c r="AO20" s="2">
        <v>2972.853</v>
      </c>
      <c r="AP20" s="2"/>
      <c r="AQ20" s="2">
        <v>3633.986</v>
      </c>
      <c r="AR20" s="2">
        <v>17.121</v>
      </c>
      <c r="AS20" s="2"/>
      <c r="AT20" s="2"/>
      <c r="AU20" s="2"/>
      <c r="AV20" s="2"/>
      <c r="AW20" s="2"/>
      <c r="AX20" s="2"/>
      <c r="AY20" s="2"/>
      <c r="AZ20" s="13">
        <f>W20+X20+Y20+Z20+AA20+AB20+AC20+AD20+AF20+AG20+AH20+AI20+AJ20+AK20+AL20+AM20+AN20+AO20+AQ20+AR20</f>
        <v>20578.345</v>
      </c>
      <c r="BA20" s="2"/>
      <c r="BB20" s="13">
        <v>1066.448</v>
      </c>
      <c r="BC20" s="13">
        <f>C20+F20+G20+I20+J20+U20+AZ20+BB20</f>
        <v>27486.363</v>
      </c>
      <c r="BD20" s="2"/>
      <c r="BF20" s="20"/>
    </row>
    <row r="21" spans="1:58" ht="13.5" customHeight="1">
      <c r="A21" s="44"/>
      <c r="B21" s="4" t="s">
        <v>97</v>
      </c>
      <c r="C21" s="2">
        <f>C19/C20*1000</f>
        <v>4239.357794956102</v>
      </c>
      <c r="D21" s="2"/>
      <c r="E21" s="2"/>
      <c r="F21" s="2">
        <f>F19/F20*1000</f>
        <v>4212.731787009774</v>
      </c>
      <c r="G21" s="13">
        <f>G19/G20*1000</f>
        <v>4604.347826086957</v>
      </c>
      <c r="H21" s="2"/>
      <c r="I21" s="13">
        <f aca="true" t="shared" si="8" ref="I21:AD21">I19/I20*1000</f>
        <v>4242.081447963801</v>
      </c>
      <c r="J21" s="13">
        <f t="shared" si="8"/>
        <v>4217.172379741582</v>
      </c>
      <c r="K21" s="2">
        <f t="shared" si="8"/>
        <v>4185.860077250401</v>
      </c>
      <c r="L21" s="2">
        <f t="shared" si="8"/>
        <v>4185.291385822563</v>
      </c>
      <c r="M21" s="2">
        <f t="shared" si="8"/>
        <v>4180.583303980275</v>
      </c>
      <c r="N21" s="2">
        <f t="shared" si="8"/>
        <v>4186.916621769115</v>
      </c>
      <c r="O21" s="2">
        <f t="shared" si="8"/>
        <v>4217.857712978237</v>
      </c>
      <c r="P21" s="2">
        <f t="shared" si="8"/>
        <v>4239.737828980708</v>
      </c>
      <c r="Q21" s="2">
        <f t="shared" si="8"/>
        <v>4207.070958740283</v>
      </c>
      <c r="R21" s="2">
        <f t="shared" si="8"/>
        <v>4214.45803387551</v>
      </c>
      <c r="S21" s="2">
        <f t="shared" si="8"/>
        <v>4239.439875419729</v>
      </c>
      <c r="T21" s="2">
        <f t="shared" si="8"/>
        <v>3409.5978062157224</v>
      </c>
      <c r="U21" s="13">
        <f t="shared" si="8"/>
        <v>4186.874191797404</v>
      </c>
      <c r="V21" s="63">
        <f t="shared" si="8"/>
        <v>4186.874191797404</v>
      </c>
      <c r="W21" s="2">
        <f t="shared" si="8"/>
        <v>4172.0364082389715</v>
      </c>
      <c r="X21" s="2">
        <f t="shared" si="8"/>
        <v>4217.40228356625</v>
      </c>
      <c r="Y21" s="2">
        <f t="shared" si="8"/>
        <v>4208.206551805896</v>
      </c>
      <c r="Z21" s="2">
        <f t="shared" si="8"/>
        <v>4217.963378749634</v>
      </c>
      <c r="AA21" s="2">
        <f t="shared" si="8"/>
        <v>4219.292527104416</v>
      </c>
      <c r="AB21" s="2">
        <f t="shared" si="8"/>
        <v>4174.40903920798</v>
      </c>
      <c r="AC21" s="2">
        <f t="shared" si="8"/>
        <v>4217.845892575232</v>
      </c>
      <c r="AD21" s="2">
        <f t="shared" si="8"/>
        <v>4173.304281160474</v>
      </c>
      <c r="AE21" s="2"/>
      <c r="AF21" s="2">
        <f aca="true" t="shared" si="9" ref="AF21:AO21">AF19/AF20*1000</f>
        <v>4170.081119542318</v>
      </c>
      <c r="AG21" s="2">
        <f t="shared" si="9"/>
        <v>4176.16789319184</v>
      </c>
      <c r="AH21" s="2">
        <f t="shared" si="9"/>
        <v>4176.553174217674</v>
      </c>
      <c r="AI21" s="2">
        <f t="shared" si="9"/>
        <v>4162.755551324464</v>
      </c>
      <c r="AJ21" s="2">
        <f t="shared" si="9"/>
        <v>4217.5913276319025</v>
      </c>
      <c r="AK21" s="2">
        <f t="shared" si="9"/>
        <v>4210.345600557914</v>
      </c>
      <c r="AL21" s="2">
        <f t="shared" si="9"/>
        <v>4176.636908957622</v>
      </c>
      <c r="AM21" s="2">
        <f t="shared" si="9"/>
        <v>4174.063854298881</v>
      </c>
      <c r="AN21" s="2">
        <f t="shared" si="9"/>
        <v>4218.130779392339</v>
      </c>
      <c r="AO21" s="2">
        <f t="shared" si="9"/>
        <v>4176.276459010923</v>
      </c>
      <c r="AP21" s="2">
        <v>0</v>
      </c>
      <c r="AQ21" s="2">
        <f>AQ19/AQ20*1000</f>
        <v>4177.426110062064</v>
      </c>
      <c r="AR21" s="2">
        <f>AR19/AR20*1000</f>
        <v>4237.778167163134</v>
      </c>
      <c r="AS21" s="2"/>
      <c r="AT21" s="2"/>
      <c r="AU21" s="2"/>
      <c r="AV21" s="2"/>
      <c r="AW21" s="2"/>
      <c r="AX21" s="2"/>
      <c r="AY21" s="2"/>
      <c r="AZ21" s="13">
        <f>AZ19/AZ20*1000</f>
        <v>4179.145456060727</v>
      </c>
      <c r="BA21" s="2"/>
      <c r="BB21" s="13">
        <f>BB19/BB20*1000</f>
        <v>4174.070371926245</v>
      </c>
      <c r="BC21" s="13">
        <f>BC19/BC20*1000</f>
        <v>4181.382927963222</v>
      </c>
      <c r="BD21" s="2"/>
      <c r="BF21" s="20"/>
    </row>
    <row r="22" spans="1:58" s="6" customFormat="1" ht="16.5" customHeight="1">
      <c r="A22" s="5">
        <v>3</v>
      </c>
      <c r="B22" s="18" t="s">
        <v>7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>
        <v>0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>
        <v>56222.84</v>
      </c>
      <c r="AT22" s="2" t="s">
        <v>149</v>
      </c>
      <c r="AU22" s="2">
        <v>37113.81</v>
      </c>
      <c r="AV22" s="2">
        <v>33609.72</v>
      </c>
      <c r="AW22" s="2">
        <v>24670</v>
      </c>
      <c r="AX22" s="2">
        <v>6572.76</v>
      </c>
      <c r="AY22" s="2">
        <v>4855.83</v>
      </c>
      <c r="AZ22" s="13">
        <f>AZ23+AZ26</f>
        <v>201077.092948</v>
      </c>
      <c r="BA22" s="63">
        <f>BA23+BA26</f>
        <v>201077.092948</v>
      </c>
      <c r="BB22" s="2">
        <v>0</v>
      </c>
      <c r="BC22" s="13">
        <f>BC23+BC26</f>
        <v>201077.092948</v>
      </c>
      <c r="BD22" s="2"/>
      <c r="BF22" s="20"/>
    </row>
    <row r="23" spans="1:58" ht="13.5" customHeight="1">
      <c r="A23" s="5"/>
      <c r="B23" s="4" t="s">
        <v>8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>
        <v>0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>
        <v>56222.84</v>
      </c>
      <c r="AT23" s="2">
        <v>38032.13</v>
      </c>
      <c r="AU23" s="2">
        <v>37113.81</v>
      </c>
      <c r="AV23" s="2">
        <v>33609.72</v>
      </c>
      <c r="AW23" s="2">
        <v>24670</v>
      </c>
      <c r="AX23" s="63"/>
      <c r="AY23" s="2">
        <f>AY24*AY25</f>
        <v>4855.832948</v>
      </c>
      <c r="AZ23" s="13">
        <f>AS23+AT23+AU23+AV23+AW23+AY23</f>
        <v>194504.332948</v>
      </c>
      <c r="BA23" s="63">
        <f>AS23+AT23+AU23+AV23+AW23+AY23</f>
        <v>194504.332948</v>
      </c>
      <c r="BB23" s="2">
        <v>0</v>
      </c>
      <c r="BC23" s="13">
        <f>AZ23</f>
        <v>194504.332948</v>
      </c>
      <c r="BD23" s="2"/>
      <c r="BF23" s="20"/>
    </row>
    <row r="24" spans="1:58" ht="12.75" customHeight="1">
      <c r="A24" s="5"/>
      <c r="B24" s="4" t="s">
        <v>98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>
        <v>66.98</v>
      </c>
      <c r="AT24" s="2">
        <v>45.366</v>
      </c>
      <c r="AU24" s="2">
        <v>44.2706</v>
      </c>
      <c r="AV24" s="2">
        <v>40.0908</v>
      </c>
      <c r="AW24" s="2">
        <v>29.4272</v>
      </c>
      <c r="AX24" s="63"/>
      <c r="AY24" s="2">
        <v>5.7922</v>
      </c>
      <c r="AZ24" s="13">
        <f>AS24+AT24+AU24+AV24+AW24+AY24</f>
        <v>231.92680000000001</v>
      </c>
      <c r="BA24" s="63">
        <f>AZ23-BA23</f>
        <v>0</v>
      </c>
      <c r="BB24" s="2">
        <v>0</v>
      </c>
      <c r="BC24" s="13">
        <f>AS24+AT24+AU24+AV24+AW24+AY24</f>
        <v>231.92680000000001</v>
      </c>
      <c r="BD24" s="2"/>
      <c r="BF24" s="20"/>
    </row>
    <row r="25" spans="1:58" ht="12.75" customHeight="1">
      <c r="A25" s="5"/>
      <c r="B25" s="4" t="s">
        <v>97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>
        <v>838.34</v>
      </c>
      <c r="AT25" s="2">
        <v>838.34</v>
      </c>
      <c r="AU25" s="2">
        <v>838.34</v>
      </c>
      <c r="AV25" s="2">
        <v>838.34</v>
      </c>
      <c r="AW25" s="2">
        <v>838.34</v>
      </c>
      <c r="AX25" s="63"/>
      <c r="AY25" s="2">
        <v>838.34</v>
      </c>
      <c r="AZ25" s="13">
        <v>838.34</v>
      </c>
      <c r="BA25" s="63"/>
      <c r="BB25" s="2"/>
      <c r="BC25" s="13">
        <f>BC23/BC24</f>
        <v>838.6453525336442</v>
      </c>
      <c r="BD25" s="2"/>
      <c r="BF25" s="20"/>
    </row>
    <row r="26" spans="1:58" ht="13.5" customHeight="1">
      <c r="A26" s="5"/>
      <c r="B26" s="4" t="s">
        <v>9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>
        <v>0</v>
      </c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>
        <v>6572.76</v>
      </c>
      <c r="AY26" s="63"/>
      <c r="AZ26" s="13">
        <f>AX26</f>
        <v>6572.76</v>
      </c>
      <c r="BA26" s="63">
        <f>AZ26</f>
        <v>6572.76</v>
      </c>
      <c r="BB26" s="2">
        <v>0</v>
      </c>
      <c r="BC26" s="13">
        <f>AZ26</f>
        <v>6572.76</v>
      </c>
      <c r="BD26" s="2"/>
      <c r="BF26" s="20"/>
    </row>
    <row r="27" spans="1:58" ht="15.75">
      <c r="A27" s="5"/>
      <c r="B27" s="4" t="s">
        <v>99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>
        <v>6.901</v>
      </c>
      <c r="AY27" s="63"/>
      <c r="AZ27" s="13">
        <f>AX27</f>
        <v>6.901</v>
      </c>
      <c r="BA27" s="2"/>
      <c r="BB27" s="2"/>
      <c r="BC27" s="13">
        <f>AZ27</f>
        <v>6.901</v>
      </c>
      <c r="BD27" s="2"/>
      <c r="BF27" s="20"/>
    </row>
    <row r="28" spans="1:58" ht="12" customHeight="1">
      <c r="A28" s="5"/>
      <c r="B28" s="4" t="s">
        <v>97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>
        <v>952.49</v>
      </c>
      <c r="AY28" s="63"/>
      <c r="AZ28" s="13">
        <f>AZ26/AZ27</f>
        <v>952.4358788581366</v>
      </c>
      <c r="BA28" s="2"/>
      <c r="BB28" s="2"/>
      <c r="BC28" s="13">
        <f>BC26/BC27</f>
        <v>952.4358788581366</v>
      </c>
      <c r="BD28" s="2"/>
      <c r="BF28" s="20"/>
    </row>
    <row r="29" spans="1:58" ht="15.75">
      <c r="A29" s="1">
        <v>4</v>
      </c>
      <c r="B29" s="18" t="s">
        <v>108</v>
      </c>
      <c r="C29" s="13">
        <v>26.14</v>
      </c>
      <c r="D29" s="13">
        <v>653.675</v>
      </c>
      <c r="E29" s="13">
        <v>919.821</v>
      </c>
      <c r="F29" s="13">
        <v>232.495</v>
      </c>
      <c r="G29" s="13">
        <v>4.233</v>
      </c>
      <c r="H29" s="13">
        <v>1374.5864</v>
      </c>
      <c r="I29" s="13">
        <v>16.52325</v>
      </c>
      <c r="J29" s="13">
        <v>398.91388</v>
      </c>
      <c r="K29" s="2">
        <v>1163.09</v>
      </c>
      <c r="L29" s="2">
        <v>1028.59</v>
      </c>
      <c r="M29" s="2">
        <v>969.549</v>
      </c>
      <c r="N29" s="2">
        <v>824.725</v>
      </c>
      <c r="O29" s="2">
        <v>117.49</v>
      </c>
      <c r="P29" s="2">
        <v>0</v>
      </c>
      <c r="Q29" s="2">
        <v>83.159</v>
      </c>
      <c r="R29" s="2">
        <v>372.27143</v>
      </c>
      <c r="S29" s="2">
        <v>34.54761</v>
      </c>
      <c r="T29" s="2">
        <v>24.328</v>
      </c>
      <c r="U29" s="13">
        <f>K29+L29+M29+N29+O29+P29+Q29+R29+S29+T29</f>
        <v>4617.750039999999</v>
      </c>
      <c r="V29" s="63">
        <f>K29+L29+M29+N29+O29+P29+Q29+R29+S29+T29</f>
        <v>4617.750039999999</v>
      </c>
      <c r="W29" s="2">
        <v>3546.13263</v>
      </c>
      <c r="X29" s="2">
        <v>364.10552</v>
      </c>
      <c r="Y29" s="2">
        <v>495.9574</v>
      </c>
      <c r="Z29" s="2">
        <v>363.35696</v>
      </c>
      <c r="AA29" s="2">
        <v>208.75324</v>
      </c>
      <c r="AB29" s="2">
        <v>1109.004</v>
      </c>
      <c r="AC29" s="2">
        <v>504.58886</v>
      </c>
      <c r="AD29" s="2">
        <v>1310.8034</v>
      </c>
      <c r="AE29" s="2">
        <v>346.25238</v>
      </c>
      <c r="AF29" s="2">
        <v>1602.27655</v>
      </c>
      <c r="AG29" s="2">
        <v>1121.46674</v>
      </c>
      <c r="AH29" s="2">
        <v>707.34743</v>
      </c>
      <c r="AI29" s="2">
        <v>354.64952</v>
      </c>
      <c r="AJ29" s="2">
        <v>167.69433</v>
      </c>
      <c r="AK29" s="2">
        <v>239.39116</v>
      </c>
      <c r="AL29" s="2">
        <v>1037.43241</v>
      </c>
      <c r="AM29" s="2">
        <v>2106.25807</v>
      </c>
      <c r="AN29" s="2">
        <v>26.2439</v>
      </c>
      <c r="AO29" s="2">
        <v>2074.34356</v>
      </c>
      <c r="AP29" s="2">
        <v>7.136</v>
      </c>
      <c r="AQ29" s="2">
        <v>3214.64928</v>
      </c>
      <c r="AR29" s="2">
        <v>12.61536</v>
      </c>
      <c r="AS29" s="2">
        <v>231.071</v>
      </c>
      <c r="AT29" s="2"/>
      <c r="AU29" s="2"/>
      <c r="AV29" s="2"/>
      <c r="AW29" s="2"/>
      <c r="AX29" s="2"/>
      <c r="AY29" s="2"/>
      <c r="AZ29" s="13">
        <f>W29+X29+Y29+Z29+AA29+AB29+AC29+AD29+AE29+AF29+AG29+AH29+AI29+AJ29+AK29+AL29+AM29+AN29+AO29+AP29+AQ29+AR29+AS29+AT29+AU29+AV29+AW29+AX29+AY29</f>
        <v>21151.5297</v>
      </c>
      <c r="BA29" s="63">
        <f>W29+X29+Y29+Z29+AA29+AB29+AC29+AD29+AE29+AF29+AG29+AH29+AI29+AJ29+AK29+AL29+AM29+AN29+AO29+AP29+AQ29+AR29+AS29+AT29+AU29+AV29+AW29+AX29+AY29</f>
        <v>21151.5297</v>
      </c>
      <c r="BB29" s="13">
        <v>2036.302</v>
      </c>
      <c r="BC29" s="13">
        <f>BB29+AZ29+U29+J29+I29+H29+G29+F29+E29+D29+C29</f>
        <v>31431.969269999994</v>
      </c>
      <c r="BD29" s="63"/>
      <c r="BF29" s="20"/>
    </row>
    <row r="30" spans="1:58" ht="14.25" customHeight="1">
      <c r="A30" s="1"/>
      <c r="B30" s="1" t="s">
        <v>109</v>
      </c>
      <c r="C30" s="13">
        <v>5.541</v>
      </c>
      <c r="D30" s="13">
        <v>173.46</v>
      </c>
      <c r="E30" s="13">
        <v>195</v>
      </c>
      <c r="F30" s="13">
        <v>61.58</v>
      </c>
      <c r="G30" s="13">
        <v>0.92</v>
      </c>
      <c r="H30" s="13">
        <v>298.76</v>
      </c>
      <c r="I30" s="13">
        <v>3.502</v>
      </c>
      <c r="J30" s="13">
        <v>86.72</v>
      </c>
      <c r="K30" s="2">
        <v>253.5</v>
      </c>
      <c r="L30" s="2">
        <v>224.16</v>
      </c>
      <c r="M30" s="2">
        <v>211.296</v>
      </c>
      <c r="N30" s="2">
        <v>179.28</v>
      </c>
      <c r="O30" s="2">
        <v>31.127</v>
      </c>
      <c r="P30" s="2">
        <v>0</v>
      </c>
      <c r="Q30" s="2">
        <v>21.989</v>
      </c>
      <c r="R30" s="2">
        <v>78.9</v>
      </c>
      <c r="S30" s="2">
        <v>7.32</v>
      </c>
      <c r="T30" s="2">
        <v>5.287</v>
      </c>
      <c r="U30" s="13">
        <f>K30+L30+M30+N30+O30+P30+Q30+R30+S30+T30</f>
        <v>1012.8589999999999</v>
      </c>
      <c r="V30" s="2"/>
      <c r="W30" s="2">
        <v>972.552</v>
      </c>
      <c r="X30" s="2">
        <v>79.2</v>
      </c>
      <c r="Y30" s="2">
        <v>107.73</v>
      </c>
      <c r="Z30" s="2">
        <v>78.94</v>
      </c>
      <c r="AA30" s="2">
        <v>45.35</v>
      </c>
      <c r="AB30" s="2">
        <v>240.96</v>
      </c>
      <c r="AC30" s="2">
        <v>109.68</v>
      </c>
      <c r="AD30" s="2">
        <v>285.6</v>
      </c>
      <c r="AE30" s="2">
        <v>75.48</v>
      </c>
      <c r="AF30" s="2">
        <v>348.68</v>
      </c>
      <c r="AG30" s="2">
        <v>244.16</v>
      </c>
      <c r="AH30" s="2">
        <v>154.12</v>
      </c>
      <c r="AI30" s="2">
        <v>77.02</v>
      </c>
      <c r="AJ30" s="2">
        <v>36.46</v>
      </c>
      <c r="AK30" s="2">
        <v>51.96</v>
      </c>
      <c r="AL30" s="2">
        <v>225.371</v>
      </c>
      <c r="AM30" s="2">
        <v>577.98</v>
      </c>
      <c r="AN30" s="2">
        <v>7.155</v>
      </c>
      <c r="AO30" s="2">
        <v>569.226</v>
      </c>
      <c r="AP30" s="2">
        <v>2.04</v>
      </c>
      <c r="AQ30" s="2">
        <v>886.35</v>
      </c>
      <c r="AR30" s="2">
        <v>3.46</v>
      </c>
      <c r="AS30" s="2">
        <v>50.178</v>
      </c>
      <c r="AT30" s="2"/>
      <c r="AU30" s="2"/>
      <c r="AV30" s="2"/>
      <c r="AW30" s="2"/>
      <c r="AX30" s="2"/>
      <c r="AY30" s="2"/>
      <c r="AZ30" s="13">
        <f>W30+X30+Y30+Z30+AA30+AB30+AC30+AD30+AE30+AF30+AG30+AH30+AI30+AJ30+AK30+AL30+AM30+AN30+AO30+AP30+AQ30+AR30+AS30</f>
        <v>5229.652</v>
      </c>
      <c r="BA30" s="63"/>
      <c r="BB30" s="13">
        <v>558.303</v>
      </c>
      <c r="BC30" s="13">
        <f>C30+D30+E30+F30+G30+H30+I30+J30+U30+AZ30+BB30</f>
        <v>7626.297</v>
      </c>
      <c r="BD30" s="63"/>
      <c r="BF30" s="20"/>
    </row>
    <row r="31" spans="1:58" ht="13.5" customHeight="1">
      <c r="A31" s="1"/>
      <c r="B31" s="1" t="s">
        <v>97</v>
      </c>
      <c r="C31" s="48">
        <f aca="true" t="shared" si="10" ref="C31:O31">C29/C30</f>
        <v>4.717560007218913</v>
      </c>
      <c r="D31" s="48">
        <f t="shared" si="10"/>
        <v>3.768448057188977</v>
      </c>
      <c r="E31" s="48">
        <f t="shared" si="10"/>
        <v>4.717030769230769</v>
      </c>
      <c r="F31" s="48">
        <f t="shared" si="10"/>
        <v>3.775495290678792</v>
      </c>
      <c r="G31" s="48">
        <v>4.60097</v>
      </c>
      <c r="H31" s="48">
        <f t="shared" si="10"/>
        <v>4.600972017673048</v>
      </c>
      <c r="I31" s="48">
        <f t="shared" si="10"/>
        <v>4.7182324386065115</v>
      </c>
      <c r="J31" s="48">
        <f t="shared" si="10"/>
        <v>4.600021678966789</v>
      </c>
      <c r="K31" s="48">
        <f>K29/K30</f>
        <v>4.588126232741617</v>
      </c>
      <c r="L31" s="48">
        <f t="shared" si="10"/>
        <v>4.588642041399001</v>
      </c>
      <c r="M31" s="48">
        <f t="shared" si="10"/>
        <v>4.588581894593367</v>
      </c>
      <c r="N31" s="48">
        <f t="shared" si="10"/>
        <v>4.600206381079875</v>
      </c>
      <c r="O31" s="48">
        <f t="shared" si="10"/>
        <v>3.77453657596299</v>
      </c>
      <c r="P31" s="13">
        <v>0</v>
      </c>
      <c r="Q31" s="48">
        <f>Q29/Q30</f>
        <v>3.78184546818864</v>
      </c>
      <c r="R31" s="48">
        <f>R29/R30</f>
        <v>4.7182690747782</v>
      </c>
      <c r="S31" s="48">
        <f>S29/S30</f>
        <v>4.719618852459016</v>
      </c>
      <c r="T31" s="49">
        <f>T29/T30</f>
        <v>4.601475316814828</v>
      </c>
      <c r="U31" s="48">
        <f>U29/U30</f>
        <v>4.559124261126178</v>
      </c>
      <c r="V31" s="2"/>
      <c r="W31" s="49">
        <f aca="true" t="shared" si="11" ref="W31:AS31">W29/W30</f>
        <v>3.6462139093847936</v>
      </c>
      <c r="X31" s="49">
        <f t="shared" si="11"/>
        <v>4.597291919191919</v>
      </c>
      <c r="Y31" s="49">
        <f t="shared" si="11"/>
        <v>4.603707416689873</v>
      </c>
      <c r="Z31" s="49">
        <f t="shared" si="11"/>
        <v>4.602951102102863</v>
      </c>
      <c r="AA31" s="49">
        <f t="shared" si="11"/>
        <v>4.603158544652701</v>
      </c>
      <c r="AB31" s="49">
        <f t="shared" si="11"/>
        <v>4.602440239043824</v>
      </c>
      <c r="AC31" s="49">
        <f t="shared" si="11"/>
        <v>4.600554886943836</v>
      </c>
      <c r="AD31" s="49">
        <f t="shared" si="11"/>
        <v>4.5896477591036415</v>
      </c>
      <c r="AE31" s="49">
        <f t="shared" si="11"/>
        <v>4.587339427662957</v>
      </c>
      <c r="AF31" s="49">
        <f t="shared" si="11"/>
        <v>4.5952637088447865</v>
      </c>
      <c r="AG31" s="49">
        <f t="shared" si="11"/>
        <v>4.593163253604194</v>
      </c>
      <c r="AH31" s="49">
        <f t="shared" si="11"/>
        <v>4.589588826888139</v>
      </c>
      <c r="AI31" s="49">
        <f t="shared" si="11"/>
        <v>4.604641911191899</v>
      </c>
      <c r="AJ31" s="49">
        <f t="shared" si="11"/>
        <v>4.599405650027427</v>
      </c>
      <c r="AK31" s="49">
        <f t="shared" si="11"/>
        <v>4.607220169361047</v>
      </c>
      <c r="AL31" s="49">
        <f t="shared" si="11"/>
        <v>4.603220511955841</v>
      </c>
      <c r="AM31" s="49">
        <f t="shared" si="11"/>
        <v>3.644171199695491</v>
      </c>
      <c r="AN31" s="49">
        <f t="shared" si="11"/>
        <v>3.667910552061495</v>
      </c>
      <c r="AO31" s="49">
        <f t="shared" si="11"/>
        <v>3.644147596912298</v>
      </c>
      <c r="AP31" s="49">
        <f>AP29/AP30</f>
        <v>3.4980392156862745</v>
      </c>
      <c r="AQ31" s="49">
        <f t="shared" si="11"/>
        <v>3.62683960060924</v>
      </c>
      <c r="AR31" s="49">
        <f t="shared" si="11"/>
        <v>3.6460578034682083</v>
      </c>
      <c r="AS31" s="49">
        <f t="shared" si="11"/>
        <v>4.605026107058871</v>
      </c>
      <c r="AT31" s="2"/>
      <c r="AU31" s="2"/>
      <c r="AV31" s="2"/>
      <c r="AW31" s="2"/>
      <c r="AX31" s="2"/>
      <c r="AY31" s="2"/>
      <c r="AZ31" s="48">
        <f>AZ29/AZ30</f>
        <v>4.044538661463516</v>
      </c>
      <c r="BA31" s="63"/>
      <c r="BB31" s="48">
        <f>BB29/BB30</f>
        <v>3.6473062118598683</v>
      </c>
      <c r="BC31" s="13">
        <f>BC29/BC30*1000</f>
        <v>4121.524413486649</v>
      </c>
      <c r="BD31" s="2"/>
      <c r="BF31" s="20"/>
    </row>
    <row r="32" spans="1:58" ht="29.25" customHeight="1">
      <c r="A32" s="1">
        <v>5</v>
      </c>
      <c r="B32" s="18" t="s">
        <v>110</v>
      </c>
      <c r="C32" s="13">
        <v>0</v>
      </c>
      <c r="D32" s="13">
        <v>0</v>
      </c>
      <c r="E32" s="13">
        <v>0</v>
      </c>
      <c r="F32" s="13">
        <v>6.0696</v>
      </c>
      <c r="G32" s="13">
        <v>0</v>
      </c>
      <c r="H32" s="13">
        <v>0</v>
      </c>
      <c r="I32" s="13">
        <v>0</v>
      </c>
      <c r="J32" s="13">
        <v>47.2176</v>
      </c>
      <c r="K32" s="2">
        <v>245.2936</v>
      </c>
      <c r="L32" s="2">
        <v>269.6212</v>
      </c>
      <c r="M32" s="2">
        <v>303.1444</v>
      </c>
      <c r="N32" s="2">
        <v>168.2562</v>
      </c>
      <c r="O32" s="2">
        <v>0.6402</v>
      </c>
      <c r="P32" s="2">
        <v>0</v>
      </c>
      <c r="Q32" s="2">
        <v>34.6484</v>
      </c>
      <c r="R32" s="2">
        <v>231.539</v>
      </c>
      <c r="S32" s="2">
        <v>2.8378</v>
      </c>
      <c r="T32" s="2">
        <v>4.1128</v>
      </c>
      <c r="U32" s="13">
        <f>K32+L32+M32+N32+O32+P32+Q32+R32+S32+T32</f>
        <v>1260.0936000000002</v>
      </c>
      <c r="V32" s="63">
        <f>K32+L32+M32+N32+O32+P32+Q32+R32+S32+T32</f>
        <v>1260.0936000000002</v>
      </c>
      <c r="W32" s="2">
        <v>1230.758</v>
      </c>
      <c r="X32" s="2">
        <v>30.058</v>
      </c>
      <c r="Y32" s="2">
        <v>88.974</v>
      </c>
      <c r="Z32" s="2">
        <v>41.495</v>
      </c>
      <c r="AA32" s="2">
        <v>17.4029</v>
      </c>
      <c r="AB32" s="2">
        <v>293.729</v>
      </c>
      <c r="AC32" s="2">
        <v>30.252</v>
      </c>
      <c r="AD32" s="2">
        <v>350.927</v>
      </c>
      <c r="AE32" s="2">
        <v>0.08825</v>
      </c>
      <c r="AF32" s="2">
        <v>458.84</v>
      </c>
      <c r="AG32" s="2">
        <v>122.6299</v>
      </c>
      <c r="AH32" s="2">
        <v>131.263</v>
      </c>
      <c r="AI32" s="2">
        <v>251.46</v>
      </c>
      <c r="AJ32" s="2">
        <v>1.783</v>
      </c>
      <c r="AK32" s="2">
        <v>53.638</v>
      </c>
      <c r="AL32" s="2">
        <v>136.664</v>
      </c>
      <c r="AM32" s="2">
        <v>896.212</v>
      </c>
      <c r="AN32" s="2">
        <v>10.82</v>
      </c>
      <c r="AO32" s="2">
        <v>600.43</v>
      </c>
      <c r="AP32" s="2"/>
      <c r="AQ32" s="2">
        <v>1321.31</v>
      </c>
      <c r="AR32" s="2">
        <v>0</v>
      </c>
      <c r="AS32" s="2">
        <v>6094.1088</v>
      </c>
      <c r="AT32" s="2">
        <v>1253.024</v>
      </c>
      <c r="AU32" s="2">
        <v>2015.2197</v>
      </c>
      <c r="AV32" s="2">
        <v>96.13188</v>
      </c>
      <c r="AW32" s="2">
        <v>1623.24</v>
      </c>
      <c r="AX32" s="2"/>
      <c r="AY32" s="2">
        <v>41.78187</v>
      </c>
      <c r="AZ32" s="13">
        <f>W32+X32+Y32+Z32+AA32+AB32+AC32+AD32+AE32+AF32+AG32+AH32+AI32+AJ32+AK32+AL32+AM32+AN32+AO32+AP32+AQ32+AR32+AS32+AT32+AU32+AV32+AW32+AX32+AY32</f>
        <v>17192.240299999998</v>
      </c>
      <c r="BA32" s="2">
        <f>AY32+AW32+AV32+AU32+AT32+AS32+AR32+AQ32+AP32+AO32+AN32+AM32+AL32+AK32+AJ32+AI32+AH32+AG32+AF32+AE32+AD32+AC32+AB32+AA32+Z32+Y32+X32+W32</f>
        <v>17192.2403</v>
      </c>
      <c r="BB32" s="13">
        <v>335.773</v>
      </c>
      <c r="BC32" s="13">
        <f>BB32+AZ32+U32+J32+I32+H32+G32+F32+E32+D32+C32</f>
        <v>18841.394099999998</v>
      </c>
      <c r="BD32" s="2">
        <f>C32+D32+E32+F32+G32+H32+I32+J32+U32+AZ32+BB32</f>
        <v>18841.394099999998</v>
      </c>
      <c r="BF32" s="20"/>
    </row>
    <row r="33" spans="1:59" ht="15" customHeight="1">
      <c r="A33" s="1"/>
      <c r="B33" s="4" t="s">
        <v>111</v>
      </c>
      <c r="C33" s="13"/>
      <c r="D33" s="13"/>
      <c r="E33" s="13"/>
      <c r="F33" s="2">
        <v>0.281</v>
      </c>
      <c r="G33" s="13"/>
      <c r="H33" s="13"/>
      <c r="I33" s="13"/>
      <c r="J33" s="2">
        <v>2.186</v>
      </c>
      <c r="K33" s="2">
        <v>12.644</v>
      </c>
      <c r="L33" s="2">
        <v>13.898</v>
      </c>
      <c r="M33" s="2">
        <v>15.626</v>
      </c>
      <c r="N33" s="2">
        <v>8.673</v>
      </c>
      <c r="O33" s="2">
        <v>0.033</v>
      </c>
      <c r="P33" s="2"/>
      <c r="Q33" s="2">
        <v>1.786</v>
      </c>
      <c r="R33" s="2">
        <v>11.935</v>
      </c>
      <c r="S33" s="2">
        <v>0.1463</v>
      </c>
      <c r="T33" s="2">
        <v>0.212</v>
      </c>
      <c r="U33" s="2">
        <f>K33+L33+M33+N33+O33+P33+Q33+R33+S33+T33</f>
        <v>64.9533</v>
      </c>
      <c r="V33" s="63"/>
      <c r="W33" s="2">
        <v>66.9</v>
      </c>
      <c r="X33" s="2">
        <v>1.703</v>
      </c>
      <c r="Y33" s="2">
        <v>5.041</v>
      </c>
      <c r="Z33" s="2">
        <v>2.351</v>
      </c>
      <c r="AA33" s="2">
        <v>0.986</v>
      </c>
      <c r="AB33" s="2">
        <v>14.942</v>
      </c>
      <c r="AC33" s="2">
        <v>1.714</v>
      </c>
      <c r="AD33" s="2">
        <v>19.883</v>
      </c>
      <c r="AE33" s="2">
        <v>0.005</v>
      </c>
      <c r="AF33" s="2">
        <v>25.43</v>
      </c>
      <c r="AG33" s="2">
        <v>6.948</v>
      </c>
      <c r="AH33" s="2">
        <v>7.437</v>
      </c>
      <c r="AI33" s="2">
        <v>14.247</v>
      </c>
      <c r="AJ33" s="2">
        <v>0.101</v>
      </c>
      <c r="AK33" s="2">
        <v>3.039</v>
      </c>
      <c r="AL33" s="2">
        <v>7.743</v>
      </c>
      <c r="AM33" s="2">
        <v>49.78</v>
      </c>
      <c r="AN33" s="2">
        <v>0.613</v>
      </c>
      <c r="AO33" s="2">
        <v>33.452</v>
      </c>
      <c r="AP33" s="2"/>
      <c r="AQ33" s="2">
        <v>73.481</v>
      </c>
      <c r="AR33" s="2">
        <v>0</v>
      </c>
      <c r="AS33" s="2">
        <v>381.12</v>
      </c>
      <c r="AT33" s="2">
        <v>78.363</v>
      </c>
      <c r="AU33" s="2">
        <v>126.03</v>
      </c>
      <c r="AV33" s="2">
        <v>6.012</v>
      </c>
      <c r="AW33" s="2">
        <v>101.516</v>
      </c>
      <c r="AX33" s="2"/>
      <c r="AY33" s="2">
        <v>2.613</v>
      </c>
      <c r="AZ33" s="13">
        <f>BA33</f>
        <v>1031.45</v>
      </c>
      <c r="BA33" s="2">
        <f>W33+X33+Y33+Z33+AA33+AB33+AC33+AD33+AE33+AF33+AG33+AH33+AI33+AJ33+AK33+AL33+AM33+AN33+AO33+AP33+AQ33+AR33+AS33+AT33+AU33+AV33+AW33+AX33+AY33</f>
        <v>1031.45</v>
      </c>
      <c r="BB33" s="2">
        <v>31.25</v>
      </c>
      <c r="BC33" s="13">
        <f>BB33+AZ33+U33+J33+I33+H33+G33+F33+E33+D33+C33</f>
        <v>1130.1202999999998</v>
      </c>
      <c r="BD33" s="2"/>
      <c r="BF33" s="20"/>
      <c r="BG33" s="19"/>
    </row>
    <row r="34" spans="1:58" ht="14.25" customHeight="1">
      <c r="A34" s="1"/>
      <c r="B34" s="4" t="s">
        <v>97</v>
      </c>
      <c r="C34" s="13"/>
      <c r="D34" s="13"/>
      <c r="E34" s="13"/>
      <c r="F34" s="2">
        <f>F32/F33</f>
        <v>21.599999999999998</v>
      </c>
      <c r="G34" s="64"/>
      <c r="H34" s="64"/>
      <c r="I34" s="64"/>
      <c r="J34" s="2">
        <f aca="true" t="shared" si="12" ref="J34:O34">J32/J33</f>
        <v>21.599999999999998</v>
      </c>
      <c r="K34" s="2">
        <f t="shared" si="12"/>
        <v>19.4</v>
      </c>
      <c r="L34" s="2">
        <f t="shared" si="12"/>
        <v>19.4</v>
      </c>
      <c r="M34" s="2">
        <f t="shared" si="12"/>
        <v>19.400000000000002</v>
      </c>
      <c r="N34" s="2">
        <f t="shared" si="12"/>
        <v>19.400000000000002</v>
      </c>
      <c r="O34" s="2">
        <f t="shared" si="12"/>
        <v>19.4</v>
      </c>
      <c r="P34" s="2"/>
      <c r="Q34" s="2">
        <f>Q32/Q33</f>
        <v>19.400000000000002</v>
      </c>
      <c r="R34" s="2">
        <f>R32/R33</f>
        <v>19.4</v>
      </c>
      <c r="S34" s="2">
        <f>S32/S33</f>
        <v>19.39712918660287</v>
      </c>
      <c r="T34" s="2">
        <f>T32/T33</f>
        <v>19.400000000000002</v>
      </c>
      <c r="U34" s="2">
        <f>U32/U33</f>
        <v>19.399993533815838</v>
      </c>
      <c r="V34" s="63"/>
      <c r="W34" s="2">
        <v>17.65</v>
      </c>
      <c r="X34" s="2">
        <f aca="true" t="shared" si="13" ref="X34:AN34">X32/X33</f>
        <v>17.650029359953024</v>
      </c>
      <c r="Y34" s="2">
        <f t="shared" si="13"/>
        <v>17.650069430668516</v>
      </c>
      <c r="Z34" s="2">
        <f t="shared" si="13"/>
        <v>17.649936197362823</v>
      </c>
      <c r="AA34" s="2">
        <f t="shared" si="13"/>
        <v>17.65</v>
      </c>
      <c r="AB34" s="2">
        <v>17.65</v>
      </c>
      <c r="AC34" s="2">
        <f t="shared" si="13"/>
        <v>17.649941656942822</v>
      </c>
      <c r="AD34" s="2">
        <v>17.65</v>
      </c>
      <c r="AE34" s="2">
        <f t="shared" si="13"/>
        <v>17.65</v>
      </c>
      <c r="AF34" s="2">
        <v>17.65</v>
      </c>
      <c r="AG34" s="2">
        <f>AG32/AG33</f>
        <v>17.64966896948762</v>
      </c>
      <c r="AH34" s="2">
        <f>AH32/AH33</f>
        <v>17.64999327685895</v>
      </c>
      <c r="AI34" s="2">
        <f t="shared" si="13"/>
        <v>17.650031585596967</v>
      </c>
      <c r="AJ34" s="2">
        <f t="shared" si="13"/>
        <v>17.653465346534652</v>
      </c>
      <c r="AK34" s="2">
        <f t="shared" si="13"/>
        <v>17.649884830536358</v>
      </c>
      <c r="AL34" s="2">
        <f t="shared" si="13"/>
        <v>17.650006457445432</v>
      </c>
      <c r="AM34" s="2">
        <v>17.65</v>
      </c>
      <c r="AN34" s="2">
        <f t="shared" si="13"/>
        <v>17.65089722675367</v>
      </c>
      <c r="AO34" s="2">
        <v>17.65</v>
      </c>
      <c r="AP34" s="2"/>
      <c r="AQ34" s="2">
        <v>17.65</v>
      </c>
      <c r="AR34" s="2">
        <v>0</v>
      </c>
      <c r="AS34" s="2">
        <f>AS32/AS33</f>
        <v>15.99</v>
      </c>
      <c r="AT34" s="2">
        <f>AT32/AT33</f>
        <v>15.98999527838393</v>
      </c>
      <c r="AU34" s="2">
        <f>AU32/AU33</f>
        <v>15.99</v>
      </c>
      <c r="AV34" s="2">
        <f>AV32/AV33</f>
        <v>15.99</v>
      </c>
      <c r="AW34" s="2">
        <f>AW32/AW33</f>
        <v>15.989991725442295</v>
      </c>
      <c r="AX34" s="2"/>
      <c r="AY34" s="2">
        <f>AY32/AY33</f>
        <v>15.989999999999998</v>
      </c>
      <c r="AZ34" s="13">
        <f>AZ32/AZ33</f>
        <v>16.66803073343351</v>
      </c>
      <c r="BA34" s="13">
        <f>BA32/BA33</f>
        <v>16.668030733433515</v>
      </c>
      <c r="BB34" s="2">
        <v>10.5</v>
      </c>
      <c r="BC34" s="13">
        <f>BC32/BC33</f>
        <v>16.672025181743926</v>
      </c>
      <c r="BD34" s="2"/>
      <c r="BF34" s="20"/>
    </row>
    <row r="35" spans="1:58" ht="14.25" customHeight="1">
      <c r="A35" s="1">
        <v>6</v>
      </c>
      <c r="B35" s="18" t="s">
        <v>112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2">
        <v>1.0636</v>
      </c>
      <c r="L35" s="2">
        <v>2.0704</v>
      </c>
      <c r="M35" s="2">
        <v>2.421</v>
      </c>
      <c r="N35" s="2">
        <v>1.016</v>
      </c>
      <c r="O35" s="2">
        <v>0</v>
      </c>
      <c r="P35" s="2">
        <v>0</v>
      </c>
      <c r="Q35" s="2">
        <v>0</v>
      </c>
      <c r="R35" s="2">
        <v>5.89387</v>
      </c>
      <c r="S35" s="2">
        <v>0</v>
      </c>
      <c r="T35" s="2">
        <v>0</v>
      </c>
      <c r="U35" s="13">
        <f>K35+L35+M35+N35+O35+P35+Q35+R35+S35+T35</f>
        <v>12.46487</v>
      </c>
      <c r="V35" s="63">
        <f>K35+L35+M35+N35+O35+P35+Q35+R35+S35+T35</f>
        <v>12.46487</v>
      </c>
      <c r="W35" s="2">
        <v>394.262</v>
      </c>
      <c r="X35" s="2">
        <v>11.718</v>
      </c>
      <c r="Y35" s="2">
        <v>19.807</v>
      </c>
      <c r="Z35" s="2">
        <v>18.89</v>
      </c>
      <c r="AA35" s="2">
        <v>6.12155</v>
      </c>
      <c r="AB35" s="2">
        <v>62.839</v>
      </c>
      <c r="AC35" s="2">
        <v>8.261</v>
      </c>
      <c r="AD35" s="2">
        <v>118.2</v>
      </c>
      <c r="AE35" s="2">
        <v>0.04775</v>
      </c>
      <c r="AF35" s="2">
        <v>89.082</v>
      </c>
      <c r="AG35" s="2">
        <v>48.419</v>
      </c>
      <c r="AH35" s="2">
        <v>59.029</v>
      </c>
      <c r="AI35" s="2">
        <v>6.198</v>
      </c>
      <c r="AJ35" s="2">
        <v>0</v>
      </c>
      <c r="AK35" s="2">
        <v>1.69</v>
      </c>
      <c r="AL35" s="2">
        <v>56.479</v>
      </c>
      <c r="AM35" s="2">
        <v>393.546</v>
      </c>
      <c r="AN35" s="2">
        <v>0</v>
      </c>
      <c r="AO35" s="2">
        <v>226.278</v>
      </c>
      <c r="AP35" s="2"/>
      <c r="AQ35" s="2">
        <v>641.474</v>
      </c>
      <c r="AR35" s="2">
        <v>0</v>
      </c>
      <c r="AS35" s="2"/>
      <c r="AT35" s="2"/>
      <c r="AU35" s="2"/>
      <c r="AV35" s="2"/>
      <c r="AW35" s="2"/>
      <c r="AX35" s="2"/>
      <c r="AY35" s="2"/>
      <c r="AZ35" s="13">
        <f>W35+X35+Y35+Z35+AA35+AB35+AC35+AD35+AE35+AF35+AG35+AH35+AI35+AJ35+AK35+AL35+AM35+AN35+AO35+AP35+AQ35+AR35+AS35+AT35+AU35+AV35+AW35+AX35+AY35</f>
        <v>2162.3413</v>
      </c>
      <c r="BA35" s="2">
        <f>W35+X35+Y35+Z35+AA35+AB35+AC35+AD35+AE35+AF35+AG35+AH35+AI35+AJ35+AK35+AL35+AM35+AN35+AO35+AP35+AQ35+AR35</f>
        <v>2162.3413</v>
      </c>
      <c r="BB35" s="13"/>
      <c r="BC35" s="13">
        <f>AZ35+U35+J35+I35+H35+G35+F35+E35+D35+C35</f>
        <v>2174.80617</v>
      </c>
      <c r="BD35" s="2"/>
      <c r="BF35" s="20"/>
    </row>
    <row r="36" spans="1:58" ht="15.75" customHeight="1">
      <c r="A36" s="1"/>
      <c r="B36" s="4" t="s">
        <v>111</v>
      </c>
      <c r="C36" s="13"/>
      <c r="D36" s="13"/>
      <c r="E36" s="13"/>
      <c r="F36" s="13"/>
      <c r="G36" s="64"/>
      <c r="H36" s="64"/>
      <c r="I36" s="64"/>
      <c r="J36" s="64"/>
      <c r="K36" s="2">
        <v>0.13759</v>
      </c>
      <c r="L36" s="2">
        <v>0.26784</v>
      </c>
      <c r="M36" s="2">
        <v>0.3132</v>
      </c>
      <c r="N36" s="2">
        <v>0.13146</v>
      </c>
      <c r="O36" s="2"/>
      <c r="P36" s="2"/>
      <c r="Q36" s="2"/>
      <c r="R36" s="2">
        <v>0.76248</v>
      </c>
      <c r="S36" s="2"/>
      <c r="T36" s="2"/>
      <c r="U36" s="2">
        <f>K36+L36+M36+N36+R36</f>
        <v>1.61257</v>
      </c>
      <c r="V36" s="63"/>
      <c r="W36" s="2">
        <v>41.284</v>
      </c>
      <c r="X36" s="2">
        <v>1.227</v>
      </c>
      <c r="Y36" s="2">
        <v>2.074</v>
      </c>
      <c r="Z36" s="2">
        <v>1.978</v>
      </c>
      <c r="AA36" s="2">
        <v>0.641</v>
      </c>
      <c r="AB36" s="2">
        <v>6.58</v>
      </c>
      <c r="AC36" s="2">
        <v>0.865</v>
      </c>
      <c r="AD36" s="2">
        <v>12.377</v>
      </c>
      <c r="AE36" s="50">
        <v>0.005</v>
      </c>
      <c r="AF36" s="2">
        <v>9.328</v>
      </c>
      <c r="AG36" s="2">
        <v>5.07</v>
      </c>
      <c r="AH36" s="2">
        <v>6.181</v>
      </c>
      <c r="AI36" s="2">
        <v>0.649</v>
      </c>
      <c r="AJ36" s="2">
        <v>0</v>
      </c>
      <c r="AK36" s="2">
        <v>0.177</v>
      </c>
      <c r="AL36" s="2">
        <v>5.914</v>
      </c>
      <c r="AM36" s="2">
        <v>41.209</v>
      </c>
      <c r="AN36" s="2">
        <v>0</v>
      </c>
      <c r="AO36" s="2">
        <v>23.694</v>
      </c>
      <c r="AP36" s="2"/>
      <c r="AQ36" s="2">
        <v>67.17</v>
      </c>
      <c r="AR36" s="2">
        <v>0</v>
      </c>
      <c r="AS36" s="2"/>
      <c r="AT36" s="2"/>
      <c r="AU36" s="2"/>
      <c r="AV36" s="2"/>
      <c r="AW36" s="2"/>
      <c r="AX36" s="2"/>
      <c r="AY36" s="2"/>
      <c r="AZ36" s="13">
        <f>BA36</f>
        <v>226.423</v>
      </c>
      <c r="BA36" s="2">
        <f>W36+X36+Y36+Z36+AA36+AB36+AC36+AD36+AE36+AF36+AG36+AH36+AI36+AJ36+AK36+AL36+AM36+AO36+AP36+AN36+AQ36+AR36</f>
        <v>226.423</v>
      </c>
      <c r="BB36" s="13"/>
      <c r="BC36" s="13">
        <f>BA36+U36</f>
        <v>228.03557</v>
      </c>
      <c r="BD36" s="2"/>
      <c r="BF36" s="20"/>
    </row>
    <row r="37" spans="1:58" ht="14.25" customHeight="1">
      <c r="A37" s="1"/>
      <c r="B37" s="4" t="s">
        <v>97</v>
      </c>
      <c r="C37" s="64"/>
      <c r="D37" s="64"/>
      <c r="E37" s="64"/>
      <c r="F37" s="13"/>
      <c r="G37" s="64"/>
      <c r="H37" s="64"/>
      <c r="I37" s="64"/>
      <c r="J37" s="64"/>
      <c r="K37" s="2">
        <f>K35/K36</f>
        <v>7.730212951522641</v>
      </c>
      <c r="L37" s="2">
        <f>L35/L36</f>
        <v>7.729988052568697</v>
      </c>
      <c r="M37" s="2">
        <f>M35/M36</f>
        <v>7.7298850574712645</v>
      </c>
      <c r="N37" s="2">
        <f>N35/N36</f>
        <v>7.728586642324662</v>
      </c>
      <c r="O37" s="2"/>
      <c r="P37" s="2"/>
      <c r="Q37" s="2"/>
      <c r="R37" s="2">
        <f>R35/R36</f>
        <v>7.729868324415066</v>
      </c>
      <c r="S37" s="2"/>
      <c r="T37" s="2"/>
      <c r="U37" s="2">
        <f>U35/U36</f>
        <v>7.72981638006412</v>
      </c>
      <c r="V37" s="63"/>
      <c r="W37" s="2">
        <f aca="true" t="shared" si="14" ref="W37:AD37">W35/W36</f>
        <v>9.549995155508187</v>
      </c>
      <c r="X37" s="2">
        <f t="shared" si="14"/>
        <v>9.550122249388753</v>
      </c>
      <c r="Y37" s="2">
        <f t="shared" si="14"/>
        <v>9.550144648023144</v>
      </c>
      <c r="Z37" s="2">
        <f t="shared" si="14"/>
        <v>9.55005055611729</v>
      </c>
      <c r="AA37" s="2">
        <f t="shared" si="14"/>
        <v>9.55</v>
      </c>
      <c r="AB37" s="2">
        <f t="shared" si="14"/>
        <v>9.549999999999999</v>
      </c>
      <c r="AC37" s="2">
        <f t="shared" si="14"/>
        <v>9.55028901734104</v>
      </c>
      <c r="AD37" s="2">
        <f t="shared" si="14"/>
        <v>9.54997172174194</v>
      </c>
      <c r="AE37" s="2">
        <f>AE35/AE36</f>
        <v>9.55</v>
      </c>
      <c r="AF37" s="2">
        <f>AF35/AF36</f>
        <v>9.549957118353344</v>
      </c>
      <c r="AG37" s="2">
        <f>AG35/AG36</f>
        <v>9.550098619329388</v>
      </c>
      <c r="AH37" s="2">
        <f>AH35/AH36</f>
        <v>9.550072803753439</v>
      </c>
      <c r="AI37" s="2">
        <f>AI35/AI36</f>
        <v>9.550077041602465</v>
      </c>
      <c r="AJ37" s="2"/>
      <c r="AK37" s="2">
        <f>AK35/AK36</f>
        <v>9.548022598870057</v>
      </c>
      <c r="AL37" s="2">
        <f>AL35/AL36</f>
        <v>9.550050727088266</v>
      </c>
      <c r="AM37" s="2">
        <f>AM35/AM36</f>
        <v>9.550001213327185</v>
      </c>
      <c r="AN37" s="2">
        <v>0</v>
      </c>
      <c r="AO37" s="2">
        <f>AO35/AO36</f>
        <v>9.550012661433275</v>
      </c>
      <c r="AP37" s="2"/>
      <c r="AQ37" s="2">
        <v>9.55</v>
      </c>
      <c r="AR37" s="2">
        <v>0</v>
      </c>
      <c r="AS37" s="2"/>
      <c r="AT37" s="2"/>
      <c r="AU37" s="2"/>
      <c r="AV37" s="2"/>
      <c r="AW37" s="2"/>
      <c r="AX37" s="2"/>
      <c r="AY37" s="2"/>
      <c r="AZ37" s="13">
        <f>AZ35/AZ36</f>
        <v>9.550007287245554</v>
      </c>
      <c r="BA37" s="2"/>
      <c r="BB37" s="13"/>
      <c r="BC37" s="13">
        <f>BC35/BC36</f>
        <v>9.537135675807066</v>
      </c>
      <c r="BD37" s="2"/>
      <c r="BF37" s="20"/>
    </row>
    <row r="38" spans="1:58" ht="18" customHeight="1">
      <c r="A38" s="1">
        <v>7</v>
      </c>
      <c r="B38" s="18" t="s">
        <v>127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/>
      <c r="I38" s="13">
        <v>0</v>
      </c>
      <c r="J38" s="13">
        <v>5.62</v>
      </c>
      <c r="K38" s="2">
        <v>55.51</v>
      </c>
      <c r="L38" s="2">
        <v>55.65</v>
      </c>
      <c r="M38" s="2">
        <v>55.65</v>
      </c>
      <c r="N38" s="2">
        <v>0</v>
      </c>
      <c r="O38" s="2">
        <v>0</v>
      </c>
      <c r="P38" s="2">
        <v>0.19</v>
      </c>
      <c r="Q38" s="2">
        <v>0.93</v>
      </c>
      <c r="R38" s="2">
        <v>16.14</v>
      </c>
      <c r="S38" s="2">
        <v>0</v>
      </c>
      <c r="T38" s="2"/>
      <c r="U38" s="13">
        <f>K38+L38+M38+N38+O38+P38+Q38+R38+S38+T38</f>
        <v>184.07</v>
      </c>
      <c r="V38" s="2">
        <f>K38+L38+M38+N38+O38+P38+Q38+R38+S38+T38</f>
        <v>184.07</v>
      </c>
      <c r="W38" s="2">
        <v>149.02</v>
      </c>
      <c r="X38" s="2">
        <v>0</v>
      </c>
      <c r="Y38" s="2">
        <v>34.51</v>
      </c>
      <c r="Z38" s="2">
        <v>8.09</v>
      </c>
      <c r="AA38" s="2">
        <v>23.06</v>
      </c>
      <c r="AB38" s="2">
        <v>29.04</v>
      </c>
      <c r="AC38" s="2">
        <v>23.76</v>
      </c>
      <c r="AD38" s="2">
        <v>114.4</v>
      </c>
      <c r="AE38" s="2">
        <v>0</v>
      </c>
      <c r="AF38" s="2">
        <v>58.1</v>
      </c>
      <c r="AG38" s="2">
        <v>62.87</v>
      </c>
      <c r="AH38" s="2">
        <v>0</v>
      </c>
      <c r="AI38" s="2">
        <v>0</v>
      </c>
      <c r="AJ38" s="2">
        <v>0</v>
      </c>
      <c r="AK38" s="2">
        <v>0</v>
      </c>
      <c r="AL38" s="2">
        <v>74.52</v>
      </c>
      <c r="AM38" s="2">
        <v>271.25</v>
      </c>
      <c r="AN38" s="2">
        <v>0</v>
      </c>
      <c r="AO38" s="2">
        <v>136.68</v>
      </c>
      <c r="AP38" s="2"/>
      <c r="AQ38" s="2">
        <v>232.7</v>
      </c>
      <c r="AR38" s="2">
        <v>0.13</v>
      </c>
      <c r="AS38" s="2"/>
      <c r="AT38" s="2"/>
      <c r="AU38" s="2"/>
      <c r="AV38" s="2"/>
      <c r="AW38" s="2"/>
      <c r="AX38" s="2"/>
      <c r="AY38" s="2"/>
      <c r="AZ38" s="13">
        <f>W38+X38+Y38+Z38+AA38+AB38+AC38+AD38+AE38+AF38+AH38+AG38+AI38+AJ38+AK38+AL38+AM38+AN38+AO38+AP38+AQ38+AR38</f>
        <v>1218.13</v>
      </c>
      <c r="BA38" s="2">
        <f>W38+X38+Y38+Z38+AA38+AB38+AC38+AD38+AE38+AF38+AG38+AH38+AI38+AJ38+AK38+AL38+AM38+AN38+AO38+AP38+AQ38+AR38</f>
        <v>1218.13</v>
      </c>
      <c r="BB38" s="13">
        <v>31.18</v>
      </c>
      <c r="BC38" s="13">
        <f>J38+U38+AZ38+BB38</f>
        <v>1439.0000000000002</v>
      </c>
      <c r="BD38" s="63"/>
      <c r="BF38" s="20"/>
    </row>
    <row r="39" spans="1:58" ht="31.5" customHeight="1">
      <c r="A39" s="1">
        <v>8</v>
      </c>
      <c r="B39" s="18" t="s">
        <v>154</v>
      </c>
      <c r="C39" s="13">
        <v>1</v>
      </c>
      <c r="D39" s="13">
        <v>1</v>
      </c>
      <c r="E39" s="13">
        <v>3</v>
      </c>
      <c r="F39" s="13">
        <v>4</v>
      </c>
      <c r="G39" s="13">
        <v>0.5</v>
      </c>
      <c r="H39" s="13">
        <v>1.5</v>
      </c>
      <c r="I39" s="13">
        <v>2</v>
      </c>
      <c r="J39" s="13">
        <v>8</v>
      </c>
      <c r="K39" s="2">
        <v>7</v>
      </c>
      <c r="L39" s="2">
        <v>8</v>
      </c>
      <c r="M39" s="2">
        <v>9</v>
      </c>
      <c r="N39" s="2">
        <v>7</v>
      </c>
      <c r="O39" s="2">
        <v>5</v>
      </c>
      <c r="P39" s="2">
        <v>3</v>
      </c>
      <c r="Q39" s="2">
        <v>6</v>
      </c>
      <c r="R39" s="2">
        <v>9</v>
      </c>
      <c r="S39" s="2">
        <v>3</v>
      </c>
      <c r="T39" s="63"/>
      <c r="U39" s="13">
        <f>K39+L39+M39+N39+O39+P39+Q39+R39+S39+T39</f>
        <v>57</v>
      </c>
      <c r="V39" s="63"/>
      <c r="W39" s="2">
        <v>19</v>
      </c>
      <c r="X39" s="2">
        <v>7</v>
      </c>
      <c r="Y39" s="2">
        <v>11</v>
      </c>
      <c r="Z39" s="2">
        <v>4</v>
      </c>
      <c r="AA39" s="2">
        <v>5</v>
      </c>
      <c r="AB39" s="2">
        <v>9</v>
      </c>
      <c r="AC39" s="2">
        <v>10</v>
      </c>
      <c r="AD39" s="2">
        <v>12</v>
      </c>
      <c r="AE39" s="2">
        <v>2</v>
      </c>
      <c r="AF39" s="2">
        <v>16</v>
      </c>
      <c r="AG39" s="2">
        <v>8</v>
      </c>
      <c r="AH39" s="2">
        <v>7.5</v>
      </c>
      <c r="AI39" s="2">
        <v>5</v>
      </c>
      <c r="AJ39" s="2">
        <v>4</v>
      </c>
      <c r="AK39" s="2">
        <v>6</v>
      </c>
      <c r="AL39" s="2">
        <v>7.5</v>
      </c>
      <c r="AM39" s="2">
        <v>16</v>
      </c>
      <c r="AN39" s="2">
        <v>5</v>
      </c>
      <c r="AO39" s="2">
        <v>14</v>
      </c>
      <c r="AP39" s="2">
        <v>3</v>
      </c>
      <c r="AQ39" s="2">
        <v>15</v>
      </c>
      <c r="AR39" s="2"/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13">
        <f>W39+X39+Y39+Z39+AA39+AB39+AC39+AD39+AE39+AF39+AG39+AH39+AI39+AJ39+AK39+AL39+AM39+AN39+AO39+AP39+AQ39+AR39+AS39+AT39+AU39+AV39+AW39+AX39+AY39</f>
        <v>186</v>
      </c>
      <c r="BA39" s="63"/>
      <c r="BB39" s="13">
        <v>10</v>
      </c>
      <c r="BC39" s="13">
        <f>BB39+AZ39+U39+J39+I39+H39+G39+F39+E39+D39+C39</f>
        <v>274</v>
      </c>
      <c r="BD39" s="2"/>
      <c r="BE39" s="60"/>
      <c r="BF39" s="20"/>
    </row>
    <row r="40" spans="1:59" ht="17.25" customHeight="1">
      <c r="A40" s="3" t="s">
        <v>128</v>
      </c>
      <c r="B40" s="18" t="s">
        <v>150</v>
      </c>
      <c r="C40" s="13">
        <v>69.99</v>
      </c>
      <c r="D40" s="13">
        <v>72.77</v>
      </c>
      <c r="E40" s="13">
        <v>186.38</v>
      </c>
      <c r="F40" s="13">
        <v>423.67</v>
      </c>
      <c r="G40" s="13">
        <v>30.78</v>
      </c>
      <c r="H40" s="13">
        <v>94.74</v>
      </c>
      <c r="I40" s="13">
        <v>108.22</v>
      </c>
      <c r="J40" s="13">
        <v>678.02</v>
      </c>
      <c r="K40" s="2">
        <v>681.26</v>
      </c>
      <c r="L40" s="2">
        <v>595.24</v>
      </c>
      <c r="M40" s="2">
        <v>741.47</v>
      </c>
      <c r="N40" s="2">
        <v>579.68</v>
      </c>
      <c r="O40" s="2">
        <v>371.66</v>
      </c>
      <c r="P40" s="2">
        <v>239.35</v>
      </c>
      <c r="Q40" s="2">
        <v>460.28</v>
      </c>
      <c r="R40" s="2">
        <v>702.22</v>
      </c>
      <c r="S40" s="2">
        <v>247.77</v>
      </c>
      <c r="T40" s="2">
        <v>0</v>
      </c>
      <c r="U40" s="13">
        <f>K40+L40+M40+N40+O40+P40+Q40+R40+S40+T40</f>
        <v>4618.93</v>
      </c>
      <c r="V40" s="2">
        <f>K40+L40+M40+N40+O40+P40+Q40+R40+S40+T40</f>
        <v>4618.93</v>
      </c>
      <c r="W40" s="2">
        <v>1391.72</v>
      </c>
      <c r="X40" s="2">
        <v>349.22</v>
      </c>
      <c r="Y40" s="2">
        <v>909.41</v>
      </c>
      <c r="Z40" s="22">
        <v>353.27</v>
      </c>
      <c r="AA40" s="2">
        <v>372.35</v>
      </c>
      <c r="AB40" s="2">
        <v>676.37</v>
      </c>
      <c r="AC40" s="2">
        <v>630.46</v>
      </c>
      <c r="AD40" s="2">
        <v>1124.87</v>
      </c>
      <c r="AE40" s="2">
        <v>94.97</v>
      </c>
      <c r="AF40" s="2">
        <v>1309.61</v>
      </c>
      <c r="AG40" s="2">
        <v>832.11</v>
      </c>
      <c r="AH40" s="2">
        <v>637.7</v>
      </c>
      <c r="AI40" s="2">
        <v>410.23</v>
      </c>
      <c r="AJ40" s="2">
        <v>307.42</v>
      </c>
      <c r="AK40" s="2">
        <v>530.93</v>
      </c>
      <c r="AL40" s="2">
        <v>582.57</v>
      </c>
      <c r="AM40" s="2">
        <v>1285.01</v>
      </c>
      <c r="AN40" s="2">
        <v>467.16</v>
      </c>
      <c r="AO40" s="2">
        <v>1304.11</v>
      </c>
      <c r="AP40" s="2">
        <v>133.04</v>
      </c>
      <c r="AQ40" s="2">
        <v>1161.13</v>
      </c>
      <c r="AR40" s="2"/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13">
        <f>W40+X40+Y40+Z40+AA40+AB40+AC40+AD40+AE40+AF40+AG40+AH40+AI40+AJ40+AK40+AL40+AM40+AN40+AO40+AP40+AQ40+AR40+AS40+AT40+AU40+AV40+AW40+AX40+AY40</f>
        <v>14863.66</v>
      </c>
      <c r="BA40" s="2">
        <f>W40+X40+Y40+Z40+AA40+AB40+AC40+AD40+AE40+AF40+AG40+AH40+AI40+AJ40+AK40+AL40+AM40+AN40+AO40+AP40+AQ40+AR40+AS40+AT40+AU40+AV40+AW40+AX40+AY40</f>
        <v>14863.66</v>
      </c>
      <c r="BB40" s="13">
        <v>918</v>
      </c>
      <c r="BC40" s="13">
        <f>BB40+AZ40+U40+J40+I40+H40+G40+F40+E40+D40+C40</f>
        <v>22065.160000000003</v>
      </c>
      <c r="BD40" s="2">
        <f>BC40/BC39/6</f>
        <v>13.421630170316304</v>
      </c>
      <c r="BE40" s="20"/>
      <c r="BF40" s="20"/>
      <c r="BG40" s="19"/>
    </row>
    <row r="41" spans="1:59" ht="13.5" customHeight="1">
      <c r="A41" s="55">
        <v>10</v>
      </c>
      <c r="B41" s="18" t="s">
        <v>151</v>
      </c>
      <c r="C41" s="13">
        <f aca="true" t="shared" si="15" ref="C41:T41">C40*0.302</f>
        <v>21.136979999999998</v>
      </c>
      <c r="D41" s="13">
        <f t="shared" si="15"/>
        <v>21.976539999999996</v>
      </c>
      <c r="E41" s="13">
        <f t="shared" si="15"/>
        <v>56.286759999999994</v>
      </c>
      <c r="F41" s="13">
        <f t="shared" si="15"/>
        <v>127.94834</v>
      </c>
      <c r="G41" s="13">
        <f t="shared" si="15"/>
        <v>9.29556</v>
      </c>
      <c r="H41" s="13">
        <f t="shared" si="15"/>
        <v>28.611479999999997</v>
      </c>
      <c r="I41" s="13">
        <f t="shared" si="15"/>
        <v>32.68244</v>
      </c>
      <c r="J41" s="13">
        <f t="shared" si="15"/>
        <v>204.76203999999998</v>
      </c>
      <c r="K41" s="13">
        <f t="shared" si="15"/>
        <v>205.74052</v>
      </c>
      <c r="L41" s="13">
        <f>L40*0.302</f>
        <v>179.76248</v>
      </c>
      <c r="M41" s="13">
        <f t="shared" si="15"/>
        <v>223.92394</v>
      </c>
      <c r="N41" s="13">
        <f t="shared" si="15"/>
        <v>175.06336</v>
      </c>
      <c r="O41" s="13">
        <f t="shared" si="15"/>
        <v>112.24132</v>
      </c>
      <c r="P41" s="13">
        <f t="shared" si="15"/>
        <v>72.2837</v>
      </c>
      <c r="Q41" s="13">
        <f t="shared" si="15"/>
        <v>139.00456</v>
      </c>
      <c r="R41" s="13">
        <f t="shared" si="15"/>
        <v>212.07044</v>
      </c>
      <c r="S41" s="13">
        <f t="shared" si="15"/>
        <v>74.82654</v>
      </c>
      <c r="T41" s="13">
        <f t="shared" si="15"/>
        <v>0</v>
      </c>
      <c r="U41" s="13">
        <f>K41+L41+M41+N41+O41+P41+Q41+R41+S41+T41</f>
        <v>1394.91686</v>
      </c>
      <c r="V41" s="2">
        <f>0.302*U40</f>
        <v>1394.91686</v>
      </c>
      <c r="W41" s="2">
        <f>0.302*W40</f>
        <v>420.29944</v>
      </c>
      <c r="X41" s="2">
        <f aca="true" t="shared" si="16" ref="X41:AY41">0.302*X40</f>
        <v>105.46444000000001</v>
      </c>
      <c r="Y41" s="2">
        <f t="shared" si="16"/>
        <v>274.64182</v>
      </c>
      <c r="Z41" s="22">
        <f t="shared" si="16"/>
        <v>106.68753999999998</v>
      </c>
      <c r="AA41" s="2">
        <f t="shared" si="16"/>
        <v>112.4497</v>
      </c>
      <c r="AB41" s="2">
        <f t="shared" si="16"/>
        <v>204.26373999999998</v>
      </c>
      <c r="AC41" s="2">
        <f t="shared" si="16"/>
        <v>190.39892</v>
      </c>
      <c r="AD41" s="2">
        <f t="shared" si="16"/>
        <v>339.71073999999993</v>
      </c>
      <c r="AE41" s="2">
        <f t="shared" si="16"/>
        <v>28.68094</v>
      </c>
      <c r="AF41" s="2">
        <f t="shared" si="16"/>
        <v>395.50221999999997</v>
      </c>
      <c r="AG41" s="2">
        <f t="shared" si="16"/>
        <v>251.29722</v>
      </c>
      <c r="AH41" s="2">
        <f t="shared" si="16"/>
        <v>192.58540000000002</v>
      </c>
      <c r="AI41" s="2">
        <f t="shared" si="16"/>
        <v>123.88946</v>
      </c>
      <c r="AJ41" s="2">
        <f t="shared" si="16"/>
        <v>92.84084</v>
      </c>
      <c r="AK41" s="2">
        <f t="shared" si="16"/>
        <v>160.34086</v>
      </c>
      <c r="AL41" s="2">
        <f t="shared" si="16"/>
        <v>175.93614000000002</v>
      </c>
      <c r="AM41" s="2">
        <f t="shared" si="16"/>
        <v>388.07302</v>
      </c>
      <c r="AN41" s="2">
        <f t="shared" si="16"/>
        <v>141.08232</v>
      </c>
      <c r="AO41" s="2">
        <f t="shared" si="16"/>
        <v>393.84121999999996</v>
      </c>
      <c r="AP41" s="2">
        <f t="shared" si="16"/>
        <v>40.178079999999994</v>
      </c>
      <c r="AQ41" s="2">
        <f t="shared" si="16"/>
        <v>350.66126</v>
      </c>
      <c r="AR41" s="2"/>
      <c r="AS41" s="2">
        <v>0</v>
      </c>
      <c r="AT41" s="2">
        <v>0</v>
      </c>
      <c r="AU41" s="2">
        <f t="shared" si="16"/>
        <v>0</v>
      </c>
      <c r="AV41" s="2">
        <f t="shared" si="16"/>
        <v>0</v>
      </c>
      <c r="AW41" s="2">
        <f t="shared" si="16"/>
        <v>0</v>
      </c>
      <c r="AX41" s="2">
        <f t="shared" si="16"/>
        <v>0</v>
      </c>
      <c r="AY41" s="2">
        <f t="shared" si="16"/>
        <v>0</v>
      </c>
      <c r="AZ41" s="13">
        <f>W41+X41+Y41+Z41+AA41+AB41+AC41+AD41+AE41+AF41+AG41+AH41+AI41+AJ41+AK41+AL41+AM41+AN41+AO41+AP41+AQ41+AR41+AS41+AT41+AU41+AV41+AW41+AX41+AY41</f>
        <v>4488.825319999999</v>
      </c>
      <c r="BA41" s="2">
        <f>0.302*AZ40</f>
        <v>4488.82532</v>
      </c>
      <c r="BB41" s="13">
        <f>BB40*0.302</f>
        <v>277.236</v>
      </c>
      <c r="BC41" s="13">
        <f>BB41+AZ41+U41+J41+I41+H41+G41+F41+E41+D41+C41</f>
        <v>6663.678319999997</v>
      </c>
      <c r="BD41" s="2">
        <f>0.302*BC40</f>
        <v>6663.678320000001</v>
      </c>
      <c r="BF41" s="20"/>
      <c r="BG41" s="19"/>
    </row>
    <row r="42" spans="1:58" ht="17.25" customHeight="1" hidden="1">
      <c r="A42" s="1"/>
      <c r="B42" s="4" t="s">
        <v>124</v>
      </c>
      <c r="C42" s="49">
        <v>0.00043</v>
      </c>
      <c r="D42" s="49">
        <v>0.00034</v>
      </c>
      <c r="E42" s="49">
        <v>0.00034</v>
      </c>
      <c r="F42" s="49">
        <v>0.00067</v>
      </c>
      <c r="G42" s="49">
        <v>0.00015</v>
      </c>
      <c r="H42" s="49">
        <v>0.00048</v>
      </c>
      <c r="I42" s="67">
        <v>0.00052</v>
      </c>
      <c r="J42" s="67">
        <v>0.00575</v>
      </c>
      <c r="K42" s="49">
        <v>0.01328</v>
      </c>
      <c r="L42" s="67">
        <v>0.01521</v>
      </c>
      <c r="M42" s="49">
        <v>0.01939</v>
      </c>
      <c r="N42" s="49">
        <v>0.01548</v>
      </c>
      <c r="O42" s="49">
        <v>0.00265</v>
      </c>
      <c r="P42" s="67">
        <v>0.00038</v>
      </c>
      <c r="Q42" s="67">
        <v>0.00135</v>
      </c>
      <c r="R42" s="67">
        <v>0.00238</v>
      </c>
      <c r="S42" s="67">
        <v>0.0097</v>
      </c>
      <c r="T42" s="49"/>
      <c r="U42" s="13"/>
      <c r="V42" s="2"/>
      <c r="W42" s="67">
        <v>0.0396</v>
      </c>
      <c r="X42" s="67">
        <v>0.00419</v>
      </c>
      <c r="Y42" s="49">
        <v>0.00652</v>
      </c>
      <c r="Z42" s="22">
        <v>0.00435</v>
      </c>
      <c r="AA42" s="67">
        <v>0.0024</v>
      </c>
      <c r="AB42" s="67">
        <v>0.01453</v>
      </c>
      <c r="AC42" s="67">
        <v>0.00836</v>
      </c>
      <c r="AD42" s="67">
        <v>0.01385</v>
      </c>
      <c r="AE42" s="67">
        <v>0.00022</v>
      </c>
      <c r="AF42" s="67">
        <v>0.01673</v>
      </c>
      <c r="AG42" s="67">
        <v>0.01257</v>
      </c>
      <c r="AH42" s="67">
        <v>0.00913</v>
      </c>
      <c r="AI42" s="67">
        <v>0.00691</v>
      </c>
      <c r="AJ42" s="67">
        <v>0.00412</v>
      </c>
      <c r="AK42" s="49">
        <v>0.00269</v>
      </c>
      <c r="AL42" s="67">
        <v>0.01841</v>
      </c>
      <c r="AM42" s="67">
        <v>0.03729</v>
      </c>
      <c r="AN42" s="49">
        <v>0.0001</v>
      </c>
      <c r="AO42" s="67">
        <v>0.0425</v>
      </c>
      <c r="AP42" s="49"/>
      <c r="AQ42" s="67">
        <v>0.07971</v>
      </c>
      <c r="AR42" s="67">
        <v>0.0007</v>
      </c>
      <c r="AS42" s="49">
        <v>0.17847</v>
      </c>
      <c r="AT42" s="49">
        <v>0.10595</v>
      </c>
      <c r="AU42" s="49">
        <v>0.10536</v>
      </c>
      <c r="AV42" s="49">
        <v>0.09159</v>
      </c>
      <c r="AW42" s="49">
        <v>0.01914</v>
      </c>
      <c r="AX42" s="67">
        <v>0.01623</v>
      </c>
      <c r="AY42" s="67">
        <v>0.013274</v>
      </c>
      <c r="AZ42" s="13"/>
      <c r="BA42" s="2"/>
      <c r="BB42" s="66">
        <v>0.01453</v>
      </c>
      <c r="BC42" s="64"/>
      <c r="BD42" s="2"/>
      <c r="BF42" s="20"/>
    </row>
    <row r="43" spans="1:58" ht="27.75" customHeight="1">
      <c r="A43" s="1">
        <v>11</v>
      </c>
      <c r="B43" s="18" t="s">
        <v>155</v>
      </c>
      <c r="C43" s="49"/>
      <c r="D43" s="49"/>
      <c r="E43" s="49"/>
      <c r="F43" s="2">
        <v>2</v>
      </c>
      <c r="G43" s="49"/>
      <c r="H43" s="49"/>
      <c r="I43" s="67"/>
      <c r="J43" s="2">
        <v>2</v>
      </c>
      <c r="K43" s="2">
        <v>6</v>
      </c>
      <c r="L43" s="2">
        <v>4</v>
      </c>
      <c r="M43" s="2">
        <v>5</v>
      </c>
      <c r="N43" s="2">
        <v>2</v>
      </c>
      <c r="O43" s="2">
        <v>2</v>
      </c>
      <c r="P43" s="63"/>
      <c r="Q43" s="63"/>
      <c r="R43" s="2">
        <v>1</v>
      </c>
      <c r="S43" s="63"/>
      <c r="T43" s="49"/>
      <c r="U43" s="13">
        <f>K43+L43+M43+N43+O43+P43+Q43+R43+S43+T43</f>
        <v>20</v>
      </c>
      <c r="V43" s="2"/>
      <c r="W43" s="2">
        <v>3</v>
      </c>
      <c r="X43" s="67"/>
      <c r="Y43" s="2">
        <v>3</v>
      </c>
      <c r="Z43" s="22">
        <v>2</v>
      </c>
      <c r="AA43" s="2">
        <v>1</v>
      </c>
      <c r="AB43" s="2">
        <v>2</v>
      </c>
      <c r="AC43" s="2">
        <v>4</v>
      </c>
      <c r="AD43" s="2">
        <v>2</v>
      </c>
      <c r="AE43" s="67"/>
      <c r="AF43" s="2">
        <v>3</v>
      </c>
      <c r="AG43" s="2">
        <v>3</v>
      </c>
      <c r="AH43" s="2">
        <v>1</v>
      </c>
      <c r="AI43" s="2">
        <v>1</v>
      </c>
      <c r="AJ43" s="2">
        <v>1</v>
      </c>
      <c r="AK43" s="2">
        <v>2.5</v>
      </c>
      <c r="AL43" s="2">
        <v>2</v>
      </c>
      <c r="AM43" s="2">
        <v>3.5</v>
      </c>
      <c r="AN43" s="2">
        <v>2</v>
      </c>
      <c r="AO43" s="2">
        <v>4</v>
      </c>
      <c r="AP43" s="49"/>
      <c r="AQ43" s="2">
        <v>2</v>
      </c>
      <c r="AR43" s="67"/>
      <c r="AS43" s="2">
        <v>5</v>
      </c>
      <c r="AT43" s="2">
        <v>3</v>
      </c>
      <c r="AU43" s="2">
        <v>6</v>
      </c>
      <c r="AV43" s="2">
        <v>5</v>
      </c>
      <c r="AW43" s="2">
        <v>7</v>
      </c>
      <c r="AX43" s="67"/>
      <c r="AY43" s="67"/>
      <c r="AZ43" s="13">
        <f>W43+X43+Y43+Z43+AA43+AB43+AC43+AD43+AE43+AF43+AG43+AH43+AI43+AJ43+AK43+AL43+AM43+AN43+AO43+AP43+AQ43+AR43+AS43+AT43+AU43+AV43+AW43+AX43+AY43</f>
        <v>68</v>
      </c>
      <c r="BA43" s="2"/>
      <c r="BB43" s="2">
        <v>4</v>
      </c>
      <c r="BC43" s="13">
        <f>C43+D43+E43+F43+G43+H43+I43+J43+U43+AZ43+BB43</f>
        <v>96</v>
      </c>
      <c r="BD43" s="2" t="s">
        <v>163</v>
      </c>
      <c r="BF43" s="20"/>
    </row>
    <row r="44" spans="1:58" ht="15.75" customHeight="1">
      <c r="A44" s="1">
        <v>12</v>
      </c>
      <c r="B44" s="18" t="s">
        <v>152</v>
      </c>
      <c r="C44" s="49"/>
      <c r="D44" s="49"/>
      <c r="E44" s="49"/>
      <c r="F44" s="2">
        <v>137.24</v>
      </c>
      <c r="G44" s="49"/>
      <c r="H44" s="49"/>
      <c r="I44" s="67"/>
      <c r="J44" s="2">
        <v>172.69</v>
      </c>
      <c r="K44" s="2">
        <v>491.57</v>
      </c>
      <c r="L44" s="2">
        <v>348.25</v>
      </c>
      <c r="M44" s="2">
        <v>461.76</v>
      </c>
      <c r="N44" s="2">
        <v>211.76</v>
      </c>
      <c r="O44" s="2">
        <v>171.4</v>
      </c>
      <c r="P44" s="2">
        <v>0</v>
      </c>
      <c r="Q44" s="67"/>
      <c r="R44" s="2">
        <v>90.73</v>
      </c>
      <c r="S44" s="63"/>
      <c r="T44" s="49"/>
      <c r="U44" s="13">
        <f>K44+L44+M44+N44+O44+P44+Q44+R44+S44+T44</f>
        <v>1775.47</v>
      </c>
      <c r="V44" s="2">
        <f>K44+L44+M44+N44+O44+P44+Q44+R44+S44+T44</f>
        <v>1775.47</v>
      </c>
      <c r="W44" s="2">
        <v>277.78</v>
      </c>
      <c r="X44" s="67"/>
      <c r="Y44" s="2">
        <v>257.59</v>
      </c>
      <c r="Z44" s="22">
        <v>208.6</v>
      </c>
      <c r="AA44" s="2">
        <v>102.16</v>
      </c>
      <c r="AB44" s="2">
        <v>182.86</v>
      </c>
      <c r="AC44" s="2">
        <v>433.09</v>
      </c>
      <c r="AD44" s="2">
        <v>177.1</v>
      </c>
      <c r="AE44" s="67"/>
      <c r="AF44" s="2">
        <v>311.44</v>
      </c>
      <c r="AG44" s="2">
        <v>321.04</v>
      </c>
      <c r="AH44" s="2">
        <v>113.18</v>
      </c>
      <c r="AI44" s="2">
        <v>83.98</v>
      </c>
      <c r="AJ44" s="2">
        <v>99.76</v>
      </c>
      <c r="AK44" s="2">
        <v>251.02</v>
      </c>
      <c r="AL44" s="2">
        <v>168.43</v>
      </c>
      <c r="AM44" s="2">
        <v>365.51</v>
      </c>
      <c r="AN44" s="2">
        <v>170.98</v>
      </c>
      <c r="AO44" s="2">
        <v>381.87</v>
      </c>
      <c r="AP44" s="49"/>
      <c r="AQ44" s="2">
        <v>181.07</v>
      </c>
      <c r="AR44" s="67"/>
      <c r="AS44" s="2">
        <v>464</v>
      </c>
      <c r="AT44" s="2">
        <v>281.18</v>
      </c>
      <c r="AU44" s="2">
        <v>644.78</v>
      </c>
      <c r="AV44" s="2">
        <v>589.08</v>
      </c>
      <c r="AW44" s="2">
        <v>707.89</v>
      </c>
      <c r="AX44" s="67"/>
      <c r="AY44" s="67"/>
      <c r="AZ44" s="13">
        <f>W44+X44+Y44+Z44+AA44+AB44+AC44+AD44+AE44+AF44++AG44+AH44+AI44+AJ44+AK44+AL44+AM44+AN44+AO44+AP44+AQ44+AR44+AS44+AT44+AU44+AV44+AW44+AX44+AY44</f>
        <v>6774.39</v>
      </c>
      <c r="BA44" s="2">
        <f>W44+X44+Y44+Z44+AA44+AB44+AC44+AD44+AE44+AF44+AG44+AH44+AI44+AJ44+AK44+AL44+AM44+AN44+AO44+AP44+AQ44+AR44+AS44+AT44+AU44+AV44+AW44+AX44+AY44</f>
        <v>6774.39</v>
      </c>
      <c r="BB44" s="13">
        <v>353.14</v>
      </c>
      <c r="BC44" s="13">
        <f>C44+D44+E44+F44+G44+H44+I44+J44+U44+AZ44+BB44</f>
        <v>9212.93</v>
      </c>
      <c r="BD44" s="2">
        <f>BC44/BC43/6</f>
        <v>15.99467013888889</v>
      </c>
      <c r="BF44" s="20"/>
    </row>
    <row r="45" spans="1:58" ht="17.25" customHeight="1">
      <c r="A45" s="1">
        <v>13</v>
      </c>
      <c r="B45" s="18" t="s">
        <v>153</v>
      </c>
      <c r="C45" s="49"/>
      <c r="D45" s="49"/>
      <c r="E45" s="49"/>
      <c r="F45" s="2">
        <f>F44*0.302</f>
        <v>41.44648</v>
      </c>
      <c r="G45" s="49"/>
      <c r="H45" s="49"/>
      <c r="I45" s="67"/>
      <c r="J45" s="2">
        <f>0.302*J44</f>
        <v>52.15238</v>
      </c>
      <c r="K45" s="2">
        <f>K44*0.302</f>
        <v>148.45414</v>
      </c>
      <c r="L45" s="2">
        <f>L44*0.302</f>
        <v>105.1715</v>
      </c>
      <c r="M45" s="2">
        <f>M44*0.302</f>
        <v>139.45152</v>
      </c>
      <c r="N45" s="2">
        <f>0.302*N44</f>
        <v>63.951519999999995</v>
      </c>
      <c r="O45" s="2">
        <f>O44*0.302</f>
        <v>51.7628</v>
      </c>
      <c r="P45" s="2">
        <v>0</v>
      </c>
      <c r="Q45" s="67"/>
      <c r="R45" s="2">
        <f>R44*0.302</f>
        <v>27.40046</v>
      </c>
      <c r="S45" s="63"/>
      <c r="T45" s="49"/>
      <c r="U45" s="13">
        <f>K45+L45+M45+N45+O45+P45+Q45+R45+S45+T45</f>
        <v>536.1919399999999</v>
      </c>
      <c r="V45" s="2">
        <f>0.302*U44</f>
        <v>536.19194</v>
      </c>
      <c r="W45" s="2">
        <f>0.302*W44</f>
        <v>83.88955999999999</v>
      </c>
      <c r="X45" s="67"/>
      <c r="Y45" s="2">
        <f aca="true" t="shared" si="17" ref="Y45:AD45">0.302*Y44</f>
        <v>77.79217999999999</v>
      </c>
      <c r="Z45" s="22">
        <f t="shared" si="17"/>
        <v>62.9972</v>
      </c>
      <c r="AA45" s="2">
        <f t="shared" si="17"/>
        <v>30.85232</v>
      </c>
      <c r="AB45" s="2">
        <f t="shared" si="17"/>
        <v>55.22372</v>
      </c>
      <c r="AC45" s="2">
        <f t="shared" si="17"/>
        <v>130.79317999999998</v>
      </c>
      <c r="AD45" s="2">
        <f t="shared" si="17"/>
        <v>53.484199999999994</v>
      </c>
      <c r="AE45" s="67"/>
      <c r="AF45" s="2">
        <f aca="true" t="shared" si="18" ref="AF45:AL45">0.302*AF44</f>
        <v>94.05488</v>
      </c>
      <c r="AG45" s="2">
        <f t="shared" si="18"/>
        <v>96.95408</v>
      </c>
      <c r="AH45" s="2">
        <f t="shared" si="18"/>
        <v>34.18036</v>
      </c>
      <c r="AI45" s="2">
        <f t="shared" si="18"/>
        <v>25.36196</v>
      </c>
      <c r="AJ45" s="2">
        <f t="shared" si="18"/>
        <v>30.12752</v>
      </c>
      <c r="AK45" s="2">
        <f t="shared" si="18"/>
        <v>75.80804</v>
      </c>
      <c r="AL45" s="2">
        <f t="shared" si="18"/>
        <v>50.86586</v>
      </c>
      <c r="AM45" s="2">
        <f>AM44*0.302</f>
        <v>110.38401999999999</v>
      </c>
      <c r="AN45" s="2">
        <f>0.302*AN44</f>
        <v>51.63596</v>
      </c>
      <c r="AO45" s="2">
        <f>0.302*AO44</f>
        <v>115.32473999999999</v>
      </c>
      <c r="AP45" s="49"/>
      <c r="AQ45" s="2">
        <f>0.302*AQ44</f>
        <v>54.683139999999995</v>
      </c>
      <c r="AR45" s="67"/>
      <c r="AS45" s="2">
        <f>0.302*AS44</f>
        <v>140.128</v>
      </c>
      <c r="AT45" s="2">
        <f>0.302*AT44</f>
        <v>84.91636</v>
      </c>
      <c r="AU45" s="2">
        <f>AU44*0.302</f>
        <v>194.72356</v>
      </c>
      <c r="AV45" s="2">
        <f>0.302*AV44</f>
        <v>177.90216</v>
      </c>
      <c r="AW45" s="2">
        <f>0.302*AW44</f>
        <v>213.78278</v>
      </c>
      <c r="AX45" s="67"/>
      <c r="AY45" s="67"/>
      <c r="AZ45" s="13">
        <f>W45+X45+Y45+Z45+AA45+AB45+AC45+AD45+AE45+AF45+AG45+AH45+AI45+AJ45+AK45+AL45+AM45+AN45+AO45+AP45+AQ45+AR45+AS45+AT45+AU45+AV45+AW45+AX45+AY45</f>
        <v>2045.8657799999999</v>
      </c>
      <c r="BA45" s="2">
        <f>0.302*AZ44</f>
        <v>2045.86578</v>
      </c>
      <c r="BB45" s="13">
        <f>0.302*BB44</f>
        <v>106.64827999999999</v>
      </c>
      <c r="BC45" s="13">
        <f>C45+D45+E45+F45+G45+H45+I45+J45+U45+AZ45+BB45</f>
        <v>2782.3048599999997</v>
      </c>
      <c r="BD45" s="2">
        <f>0.302*BC44</f>
        <v>2782.30486</v>
      </c>
      <c r="BF45" s="20"/>
    </row>
    <row r="46" spans="1:58" ht="17.25" customHeight="1" hidden="1">
      <c r="A46" s="1"/>
      <c r="B46" s="4"/>
      <c r="C46" s="49"/>
      <c r="D46" s="49"/>
      <c r="E46" s="49"/>
      <c r="F46" s="49"/>
      <c r="G46" s="49"/>
      <c r="H46" s="49"/>
      <c r="I46" s="67"/>
      <c r="J46" s="63"/>
      <c r="K46" s="67"/>
      <c r="L46" s="67"/>
      <c r="M46" s="67"/>
      <c r="N46" s="67"/>
      <c r="O46" s="67"/>
      <c r="P46" s="49"/>
      <c r="Q46" s="67"/>
      <c r="R46" s="63"/>
      <c r="S46" s="67"/>
      <c r="T46" s="49"/>
      <c r="U46" s="13"/>
      <c r="V46" s="2"/>
      <c r="W46" s="67"/>
      <c r="X46" s="67"/>
      <c r="Y46" s="63"/>
      <c r="Z46" s="22"/>
      <c r="AA46" s="67"/>
      <c r="AB46" s="2"/>
      <c r="AC46" s="2"/>
      <c r="AD46" s="67"/>
      <c r="AE46" s="67"/>
      <c r="AF46" s="2"/>
      <c r="AG46" s="2"/>
      <c r="AH46" s="67"/>
      <c r="AI46" s="67"/>
      <c r="AJ46" s="63"/>
      <c r="AK46" s="2"/>
      <c r="AL46" s="63"/>
      <c r="AM46" s="67"/>
      <c r="AN46" s="63"/>
      <c r="AO46" s="63"/>
      <c r="AP46" s="49"/>
      <c r="AQ46" s="67"/>
      <c r="AR46" s="67"/>
      <c r="AS46" s="67"/>
      <c r="AT46" s="67"/>
      <c r="AU46" s="67"/>
      <c r="AV46" s="63"/>
      <c r="AW46" s="2"/>
      <c r="AX46" s="67"/>
      <c r="AY46" s="67"/>
      <c r="AZ46" s="13"/>
      <c r="BA46" s="2"/>
      <c r="BB46" s="64"/>
      <c r="BC46" s="64"/>
      <c r="BD46" s="2"/>
      <c r="BF46" s="20"/>
    </row>
    <row r="47" spans="1:59" ht="46.5" customHeight="1">
      <c r="A47" s="1">
        <v>14</v>
      </c>
      <c r="B47" s="18" t="s">
        <v>137</v>
      </c>
      <c r="C47" s="13">
        <v>2.4</v>
      </c>
      <c r="D47" s="13">
        <v>1.55</v>
      </c>
      <c r="E47" s="28">
        <v>2.66</v>
      </c>
      <c r="F47" s="13">
        <v>37.02</v>
      </c>
      <c r="G47" s="13">
        <v>1.51</v>
      </c>
      <c r="H47" s="13">
        <v>5.25</v>
      </c>
      <c r="I47" s="13">
        <v>4.67</v>
      </c>
      <c r="J47" s="13">
        <v>54.75</v>
      </c>
      <c r="K47" s="2">
        <v>173.98</v>
      </c>
      <c r="L47" s="2">
        <v>223.52</v>
      </c>
      <c r="M47" s="2">
        <v>251.96</v>
      </c>
      <c r="N47" s="2">
        <v>198.58</v>
      </c>
      <c r="O47" s="2">
        <v>39.11</v>
      </c>
      <c r="P47" s="2">
        <v>5.63</v>
      </c>
      <c r="Q47" s="2">
        <v>21.21</v>
      </c>
      <c r="R47" s="2">
        <v>44.86</v>
      </c>
      <c r="S47" s="2">
        <v>12.65</v>
      </c>
      <c r="T47" s="2">
        <v>6.08</v>
      </c>
      <c r="U47" s="13">
        <f aca="true" t="shared" si="19" ref="U47:U53">K47+L47+M47+N47+O47+P47+Q47+R47+S47+T47</f>
        <v>977.5800000000002</v>
      </c>
      <c r="V47" s="2">
        <f>K47+L47+M47+N47+O47+P47+Q47+R47+S47+T47</f>
        <v>977.5800000000002</v>
      </c>
      <c r="W47" s="2">
        <v>364.77</v>
      </c>
      <c r="X47" s="2">
        <v>37.83</v>
      </c>
      <c r="Y47" s="2">
        <v>74.86</v>
      </c>
      <c r="Z47" s="2">
        <v>40.44</v>
      </c>
      <c r="AA47" s="2">
        <v>24.03</v>
      </c>
      <c r="AB47" s="2">
        <v>143.89</v>
      </c>
      <c r="AC47" s="2">
        <v>85.46</v>
      </c>
      <c r="AD47" s="2">
        <v>134.65</v>
      </c>
      <c r="AE47" s="2">
        <v>1.76</v>
      </c>
      <c r="AF47" s="2">
        <v>155.46</v>
      </c>
      <c r="AG47" s="2">
        <v>113.08</v>
      </c>
      <c r="AH47" s="2">
        <v>101.3</v>
      </c>
      <c r="AI47" s="2">
        <v>64.92</v>
      </c>
      <c r="AJ47" s="2">
        <v>39.74</v>
      </c>
      <c r="AK47" s="2">
        <v>24.62</v>
      </c>
      <c r="AL47" s="2">
        <v>185.15</v>
      </c>
      <c r="AM47" s="2">
        <v>374.84</v>
      </c>
      <c r="AN47" s="2">
        <v>4.23</v>
      </c>
      <c r="AO47" s="2">
        <v>412.63</v>
      </c>
      <c r="AP47" s="2"/>
      <c r="AQ47" s="2">
        <v>734.61</v>
      </c>
      <c r="AR47" s="2">
        <v>8.17</v>
      </c>
      <c r="AS47" s="2">
        <v>1460.68</v>
      </c>
      <c r="AT47" s="2">
        <v>976.32</v>
      </c>
      <c r="AU47" s="2">
        <v>873.81</v>
      </c>
      <c r="AV47" s="2">
        <v>774.18</v>
      </c>
      <c r="AW47" s="2">
        <v>720.59</v>
      </c>
      <c r="AX47" s="2">
        <v>127.58</v>
      </c>
      <c r="AY47" s="2">
        <v>126.85</v>
      </c>
      <c r="AZ47" s="13">
        <f aca="true" t="shared" si="20" ref="AZ47:AZ55">W47+X47+Y47+Z47+AA47+AB47+AC47+AD47+AE47+AF47+AG47+AH47+AI47+AJ47+AK47+AL47+AM47+AN47+AO47+AP47+AQ47+AR47+AS47+AT47+AU47+AV47+AW47+AX47+AY47</f>
        <v>8186.450000000001</v>
      </c>
      <c r="BA47" s="2">
        <f>W47+X47+Y47+Z47+AA47+AB47+AC47+AD47+AE47+AF47+AG47+AH47+AI47+AJ47+AK47+AL47+AM47+AN47+AO47+AP47+AQ47+AR47+AS47+AT47+AU47+AV47+AW47+AX47+AY47</f>
        <v>8186.450000000001</v>
      </c>
      <c r="BB47" s="13">
        <v>149.1</v>
      </c>
      <c r="BC47" s="13">
        <f>C47+D47+E47+F47+G47+H47+I47+J47+U47+AZ47+BB47</f>
        <v>9422.94</v>
      </c>
      <c r="BD47" s="2"/>
      <c r="BE47" s="89"/>
      <c r="BF47" s="20"/>
      <c r="BG47" s="19"/>
    </row>
    <row r="48" spans="1:59" ht="15.75" customHeight="1">
      <c r="A48" s="1"/>
      <c r="B48" s="18" t="s">
        <v>159</v>
      </c>
      <c r="C48" s="13">
        <v>2.4</v>
      </c>
      <c r="D48" s="64"/>
      <c r="E48" s="65"/>
      <c r="F48" s="13">
        <v>35.38</v>
      </c>
      <c r="G48" s="13">
        <v>0.1</v>
      </c>
      <c r="H48" s="64"/>
      <c r="I48" s="13">
        <v>4.55</v>
      </c>
      <c r="J48" s="13">
        <v>22.87</v>
      </c>
      <c r="K48" s="2">
        <v>37.41</v>
      </c>
      <c r="L48" s="2">
        <v>37.41</v>
      </c>
      <c r="M48" s="2">
        <v>72.01</v>
      </c>
      <c r="N48" s="2">
        <v>72.53</v>
      </c>
      <c r="O48" s="2">
        <v>28.25</v>
      </c>
      <c r="P48" s="2">
        <v>3.17</v>
      </c>
      <c r="Q48" s="2">
        <v>10.16</v>
      </c>
      <c r="R48" s="2">
        <v>29.62</v>
      </c>
      <c r="S48" s="2">
        <v>10.32</v>
      </c>
      <c r="T48" s="2">
        <v>3.27</v>
      </c>
      <c r="U48" s="13">
        <f t="shared" si="19"/>
        <v>304.15</v>
      </c>
      <c r="V48" s="2"/>
      <c r="W48" s="2">
        <v>34.56</v>
      </c>
      <c r="X48" s="2">
        <v>15.55</v>
      </c>
      <c r="Y48" s="2">
        <v>32.97</v>
      </c>
      <c r="Z48" s="2">
        <v>28.35</v>
      </c>
      <c r="AA48" s="2">
        <v>20.67</v>
      </c>
      <c r="AB48" s="2">
        <v>57.13</v>
      </c>
      <c r="AC48" s="2">
        <v>32.07</v>
      </c>
      <c r="AD48" s="2">
        <v>95.53</v>
      </c>
      <c r="AE48" s="2">
        <v>0</v>
      </c>
      <c r="AF48" s="2">
        <v>30.5</v>
      </c>
      <c r="AG48" s="2">
        <v>25.09</v>
      </c>
      <c r="AH48" s="2">
        <v>24.73</v>
      </c>
      <c r="AI48" s="2">
        <v>30.15</v>
      </c>
      <c r="AJ48" s="2">
        <v>27.65</v>
      </c>
      <c r="AK48" s="2">
        <v>16.58</v>
      </c>
      <c r="AL48" s="2">
        <v>34.49</v>
      </c>
      <c r="AM48" s="2">
        <v>56.08</v>
      </c>
      <c r="AN48" s="2">
        <v>2.81</v>
      </c>
      <c r="AO48" s="2">
        <v>68.55</v>
      </c>
      <c r="AP48" s="2"/>
      <c r="AQ48" s="2">
        <v>68.37</v>
      </c>
      <c r="AR48" s="2">
        <v>7.52</v>
      </c>
      <c r="AS48" s="63"/>
      <c r="AT48" s="63"/>
      <c r="AU48" s="63"/>
      <c r="AV48" s="63"/>
      <c r="AW48" s="2"/>
      <c r="AX48" s="2"/>
      <c r="AY48" s="63"/>
      <c r="AZ48" s="13">
        <f>W48+X48+Y48+Z48+AA48+AB48+AC48+AD48+AE48+AF48+AG48+AH48+AI48+AJ48+AK48+AL48+AM48+AN48+AO48+AP48+AQ48+AR48+AS48+AT48+AU48+AV48+AW48+AX48+AY48</f>
        <v>709.3499999999999</v>
      </c>
      <c r="BA48" s="2"/>
      <c r="BB48" s="13">
        <v>38.31</v>
      </c>
      <c r="BC48" s="13">
        <f>C48+D48+E48+F48+G48+H48+I48+J48+U48+AZ48+BB48</f>
        <v>1117.11</v>
      </c>
      <c r="BD48" s="2">
        <v>1117</v>
      </c>
      <c r="BE48" s="89"/>
      <c r="BF48" s="20"/>
      <c r="BG48" s="19"/>
    </row>
    <row r="49" spans="1:58" ht="14.25" customHeight="1">
      <c r="A49" s="3" t="s">
        <v>142</v>
      </c>
      <c r="B49" s="18" t="s">
        <v>138</v>
      </c>
      <c r="C49" s="13">
        <v>0</v>
      </c>
      <c r="D49" s="13">
        <v>0</v>
      </c>
      <c r="E49" s="13">
        <v>0</v>
      </c>
      <c r="F49" s="13">
        <v>0</v>
      </c>
      <c r="G49" s="13">
        <v>27.86</v>
      </c>
      <c r="H49" s="13">
        <v>0</v>
      </c>
      <c r="I49" s="13">
        <v>0</v>
      </c>
      <c r="J49" s="13">
        <v>0</v>
      </c>
      <c r="K49" s="2">
        <v>3.57</v>
      </c>
      <c r="L49" s="2">
        <v>43.17</v>
      </c>
      <c r="M49" s="2">
        <v>3.56</v>
      </c>
      <c r="N49" s="2">
        <v>3.56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13">
        <f t="shared" si="19"/>
        <v>53.86000000000001</v>
      </c>
      <c r="V49" s="2">
        <f>K49+L49+M49+N49+O49+P49+Q49+R49+S49+T49</f>
        <v>53.86000000000001</v>
      </c>
      <c r="W49" s="2">
        <v>648.28</v>
      </c>
      <c r="X49" s="2">
        <v>42.26</v>
      </c>
      <c r="Y49" s="2">
        <v>96.97</v>
      </c>
      <c r="Z49" s="2">
        <v>49.07</v>
      </c>
      <c r="AA49" s="2">
        <v>115.6</v>
      </c>
      <c r="AB49" s="2">
        <v>236.38</v>
      </c>
      <c r="AC49" s="2">
        <v>64.49</v>
      </c>
      <c r="AD49" s="2">
        <v>597.86</v>
      </c>
      <c r="AE49" s="2">
        <v>0.004</v>
      </c>
      <c r="AF49" s="2">
        <v>414.51</v>
      </c>
      <c r="AG49" s="2">
        <v>175.61</v>
      </c>
      <c r="AH49" s="2">
        <v>141.06</v>
      </c>
      <c r="AI49" s="2">
        <v>85.6</v>
      </c>
      <c r="AJ49" s="2">
        <v>62.63</v>
      </c>
      <c r="AK49" s="2">
        <v>76.63</v>
      </c>
      <c r="AL49" s="2">
        <v>262.9</v>
      </c>
      <c r="AM49" s="2">
        <v>1889.05</v>
      </c>
      <c r="AN49" s="2">
        <v>315.28</v>
      </c>
      <c r="AO49" s="2">
        <v>598.22</v>
      </c>
      <c r="AP49" s="2"/>
      <c r="AQ49" s="2">
        <v>1092.94</v>
      </c>
      <c r="AR49" s="2">
        <v>26.07</v>
      </c>
      <c r="AS49" s="2">
        <v>3727.93</v>
      </c>
      <c r="AT49" s="2">
        <v>2191.1</v>
      </c>
      <c r="AU49" s="2">
        <v>2238.51</v>
      </c>
      <c r="AV49" s="2">
        <v>2385.96</v>
      </c>
      <c r="AW49" s="2">
        <v>1021.37</v>
      </c>
      <c r="AX49" s="2">
        <v>0</v>
      </c>
      <c r="AY49" s="2">
        <v>0</v>
      </c>
      <c r="AZ49" s="13">
        <f t="shared" si="20"/>
        <v>18556.284</v>
      </c>
      <c r="BA49" s="2">
        <f>W49+X49+Y49+Z49+AA49+AB49+AC49+AD49+AE49+AF49+AG49+AH49+AI49+AJ49+AK49+AL49+AM49+AN49+AO49+AP49+AQ49+AR49+AS49+AT49+AU49+AV49+AW49+AX49+AY49</f>
        <v>18556.284</v>
      </c>
      <c r="BB49" s="13">
        <v>0</v>
      </c>
      <c r="BC49" s="13">
        <f>BB49+AZ49+U49+J49+I49+H49+G49+F49+E49+D49+C49</f>
        <v>18638.004</v>
      </c>
      <c r="BD49" s="2"/>
      <c r="BE49" s="90"/>
      <c r="BF49" s="20"/>
    </row>
    <row r="50" spans="1:58" ht="27" customHeight="1">
      <c r="A50" s="3" t="s">
        <v>156</v>
      </c>
      <c r="B50" s="52" t="s">
        <v>139</v>
      </c>
      <c r="C50" s="13">
        <v>0</v>
      </c>
      <c r="D50" s="13">
        <v>0</v>
      </c>
      <c r="E50" s="13">
        <v>1.23</v>
      </c>
      <c r="F50" s="13">
        <v>6.24</v>
      </c>
      <c r="G50" s="13">
        <v>0</v>
      </c>
      <c r="H50" s="13">
        <v>0</v>
      </c>
      <c r="I50" s="13">
        <v>0</v>
      </c>
      <c r="J50" s="13">
        <v>9.74</v>
      </c>
      <c r="K50" s="2">
        <v>43.12</v>
      </c>
      <c r="L50" s="2">
        <v>106.72</v>
      </c>
      <c r="M50" s="2">
        <v>52.45</v>
      </c>
      <c r="N50" s="2">
        <v>36.41</v>
      </c>
      <c r="O50" s="2">
        <v>0</v>
      </c>
      <c r="P50" s="2">
        <v>3.61</v>
      </c>
      <c r="Q50" s="2">
        <v>8.82</v>
      </c>
      <c r="R50" s="2">
        <v>21.29</v>
      </c>
      <c r="S50" s="2">
        <v>0</v>
      </c>
      <c r="T50" s="2">
        <v>3.56</v>
      </c>
      <c r="U50" s="13">
        <f t="shared" si="19"/>
        <v>275.98</v>
      </c>
      <c r="V50" s="2">
        <f>K50+L50+M50+N50+O50+P50+Q50+R50+S50+T50</f>
        <v>275.98</v>
      </c>
      <c r="W50" s="2">
        <v>299.68</v>
      </c>
      <c r="X50" s="2">
        <v>1.27</v>
      </c>
      <c r="Y50" s="2">
        <v>37.57</v>
      </c>
      <c r="Z50" s="2">
        <v>15.28</v>
      </c>
      <c r="AA50" s="2">
        <v>11.31</v>
      </c>
      <c r="AB50" s="2">
        <v>24.05</v>
      </c>
      <c r="AC50" s="2">
        <v>66.34</v>
      </c>
      <c r="AD50" s="2">
        <v>131.26</v>
      </c>
      <c r="AE50" s="2">
        <v>10.12</v>
      </c>
      <c r="AF50" s="2">
        <v>102.22</v>
      </c>
      <c r="AG50" s="2">
        <v>103.52</v>
      </c>
      <c r="AH50" s="2">
        <v>0.3</v>
      </c>
      <c r="AI50" s="2">
        <v>0</v>
      </c>
      <c r="AJ50" s="2">
        <v>25.63</v>
      </c>
      <c r="AK50" s="2">
        <v>32.95</v>
      </c>
      <c r="AL50" s="2">
        <v>14.72</v>
      </c>
      <c r="AM50" s="2">
        <v>150.3</v>
      </c>
      <c r="AN50" s="2">
        <v>6.77</v>
      </c>
      <c r="AO50" s="2">
        <v>72.84</v>
      </c>
      <c r="AP50" s="2"/>
      <c r="AQ50" s="2">
        <v>173.13</v>
      </c>
      <c r="AR50" s="2">
        <v>18.77</v>
      </c>
      <c r="AS50" s="2">
        <v>541.9</v>
      </c>
      <c r="AT50" s="2">
        <v>599.52</v>
      </c>
      <c r="AU50" s="2">
        <v>366.41</v>
      </c>
      <c r="AV50" s="2">
        <v>762.16</v>
      </c>
      <c r="AW50" s="2">
        <v>204.55</v>
      </c>
      <c r="AX50" s="2">
        <v>0</v>
      </c>
      <c r="AY50" s="2">
        <v>51.4</v>
      </c>
      <c r="AZ50" s="13">
        <f t="shared" si="20"/>
        <v>3823.97</v>
      </c>
      <c r="BA50" s="2">
        <f>W50+X50+Y50+Z50+AA50+AB50+AC50+AD50+AE50+AF50+AG50+AH50+AI50+AJ50+AK50+AL50+AM50+AN50+AO50+AP50+AQ50+AR50+AS50+AT50+AU50+AV50+AW50+AX50+AY50</f>
        <v>3823.97</v>
      </c>
      <c r="BB50" s="13">
        <v>134.84</v>
      </c>
      <c r="BC50" s="13">
        <f>C50+D50+E50+F50+G50+H50+I50+J50+U50+AZ50+BB50</f>
        <v>4252</v>
      </c>
      <c r="BD50" s="2"/>
      <c r="BE50" s="90"/>
      <c r="BF50" s="20"/>
    </row>
    <row r="51" spans="1:58" ht="30" customHeight="1">
      <c r="A51" s="3" t="s">
        <v>157</v>
      </c>
      <c r="B51" s="18" t="s">
        <v>161</v>
      </c>
      <c r="C51" s="13">
        <v>0</v>
      </c>
      <c r="D51" s="13">
        <v>0</v>
      </c>
      <c r="E51" s="13">
        <v>0.62</v>
      </c>
      <c r="F51" s="13">
        <v>2.78</v>
      </c>
      <c r="G51" s="13">
        <v>0</v>
      </c>
      <c r="H51" s="13">
        <v>0.25</v>
      </c>
      <c r="I51" s="13">
        <v>0</v>
      </c>
      <c r="J51" s="13">
        <v>1.86</v>
      </c>
      <c r="K51" s="2">
        <v>21.2</v>
      </c>
      <c r="L51" s="2">
        <v>5.2</v>
      </c>
      <c r="M51" s="2">
        <v>11.08</v>
      </c>
      <c r="N51" s="2">
        <v>7.63</v>
      </c>
      <c r="O51" s="2">
        <v>1.11</v>
      </c>
      <c r="P51" s="2">
        <v>0</v>
      </c>
      <c r="Q51" s="2">
        <v>2.56</v>
      </c>
      <c r="R51" s="2">
        <v>2.62</v>
      </c>
      <c r="S51" s="2">
        <v>0.33</v>
      </c>
      <c r="T51" s="2">
        <v>0.47</v>
      </c>
      <c r="U51" s="13">
        <f t="shared" si="19"/>
        <v>52.199999999999996</v>
      </c>
      <c r="V51" s="2">
        <f>K51+L51+M51+N51+O51+P51+Q51+R51+S51+T51</f>
        <v>52.199999999999996</v>
      </c>
      <c r="W51" s="2">
        <v>46.45</v>
      </c>
      <c r="X51" s="2">
        <v>0.44</v>
      </c>
      <c r="Y51" s="2">
        <v>2.36</v>
      </c>
      <c r="Z51" s="2">
        <v>6.8</v>
      </c>
      <c r="AA51" s="2">
        <v>3.49</v>
      </c>
      <c r="AB51" s="2">
        <v>44.25</v>
      </c>
      <c r="AC51" s="2">
        <v>2.86</v>
      </c>
      <c r="AD51" s="2">
        <v>44.21</v>
      </c>
      <c r="AE51" s="2">
        <v>0.24</v>
      </c>
      <c r="AF51" s="2">
        <v>46.06</v>
      </c>
      <c r="AG51" s="2">
        <v>18.26</v>
      </c>
      <c r="AH51" s="2">
        <v>1.74</v>
      </c>
      <c r="AI51" s="2">
        <v>0.44</v>
      </c>
      <c r="AJ51" s="2">
        <v>5.5</v>
      </c>
      <c r="AK51" s="2">
        <v>0.4</v>
      </c>
      <c r="AL51" s="2">
        <v>14.13</v>
      </c>
      <c r="AM51" s="2">
        <v>47.19</v>
      </c>
      <c r="AN51" s="2">
        <v>6.04</v>
      </c>
      <c r="AO51" s="2">
        <v>13.14</v>
      </c>
      <c r="AP51" s="2"/>
      <c r="AQ51" s="2">
        <v>141.3</v>
      </c>
      <c r="AR51" s="2">
        <v>5.2</v>
      </c>
      <c r="AS51" s="2">
        <v>76.51</v>
      </c>
      <c r="AT51" s="2">
        <v>54.09</v>
      </c>
      <c r="AU51" s="2">
        <v>25.2</v>
      </c>
      <c r="AV51" s="2">
        <v>19.78</v>
      </c>
      <c r="AW51" s="2">
        <v>55.32</v>
      </c>
      <c r="AX51" s="2">
        <v>0</v>
      </c>
      <c r="AY51" s="2">
        <v>3.45</v>
      </c>
      <c r="AZ51" s="13">
        <f t="shared" si="20"/>
        <v>684.8500000000001</v>
      </c>
      <c r="BA51" s="2">
        <f>W51+X51+Y51+Z51+AA51+AB51+AC51+AD51+AE51+AF51+AG51+AH51+AI51+AJ51+AK51+AL51+AM51+AN51+AO51+AP51+AQ51+AR51+AS51+AT51+AU51+AV51+AW51+AX51+AY51</f>
        <v>684.8500000000001</v>
      </c>
      <c r="BB51" s="13">
        <v>10.18</v>
      </c>
      <c r="BC51" s="13">
        <f>BB51+AZ51+U51+J51+I51+H51+G51+F51+E51+D51+C51</f>
        <v>752.7400000000001</v>
      </c>
      <c r="BD51" s="2"/>
      <c r="BE51" s="89"/>
      <c r="BF51" s="20"/>
    </row>
    <row r="52" spans="1:60" ht="21.75" customHeight="1">
      <c r="A52" s="3" t="s">
        <v>158</v>
      </c>
      <c r="B52" s="18" t="s">
        <v>131</v>
      </c>
      <c r="C52" s="13">
        <v>0.07</v>
      </c>
      <c r="D52" s="13">
        <v>0.2</v>
      </c>
      <c r="E52" s="13">
        <v>2.48</v>
      </c>
      <c r="F52" s="13">
        <v>4.4</v>
      </c>
      <c r="G52" s="13">
        <v>1.03</v>
      </c>
      <c r="H52" s="13">
        <v>3.57</v>
      </c>
      <c r="I52" s="13">
        <v>0.45</v>
      </c>
      <c r="J52" s="13">
        <v>37.21</v>
      </c>
      <c r="K52" s="2">
        <v>71.05</v>
      </c>
      <c r="L52" s="2">
        <v>81.39</v>
      </c>
      <c r="M52" s="2">
        <v>112.11</v>
      </c>
      <c r="N52" s="2">
        <v>86.24</v>
      </c>
      <c r="O52" s="2">
        <v>11.08</v>
      </c>
      <c r="P52" s="2">
        <v>2.73</v>
      </c>
      <c r="Q52" s="2">
        <v>10.28</v>
      </c>
      <c r="R52" s="2">
        <v>21.74</v>
      </c>
      <c r="S52" s="2">
        <v>6.13</v>
      </c>
      <c r="T52" s="63"/>
      <c r="U52" s="13">
        <f t="shared" si="19"/>
        <v>402.75</v>
      </c>
      <c r="V52" s="2">
        <f>K52+L52+M52+N52+O52+P52+Q52+R52+S52+T52</f>
        <v>402.75</v>
      </c>
      <c r="W52" s="2">
        <v>237.9</v>
      </c>
      <c r="X52" s="2">
        <v>25.68</v>
      </c>
      <c r="Y52" s="2">
        <v>49.65</v>
      </c>
      <c r="Z52" s="2">
        <v>27.47</v>
      </c>
      <c r="AA52" s="2">
        <v>16.33</v>
      </c>
      <c r="AB52" s="2">
        <v>95.52</v>
      </c>
      <c r="AC52" s="2">
        <v>56.73</v>
      </c>
      <c r="AD52" s="2">
        <v>91.51</v>
      </c>
      <c r="AE52" s="2">
        <v>1.36</v>
      </c>
      <c r="AF52" s="2">
        <v>105.66</v>
      </c>
      <c r="AG52" s="2">
        <v>78.13</v>
      </c>
      <c r="AH52" s="2">
        <v>68.84</v>
      </c>
      <c r="AI52" s="2">
        <v>44.12</v>
      </c>
      <c r="AJ52" s="2">
        <v>27.01</v>
      </c>
      <c r="AK52" s="2">
        <v>16.73</v>
      </c>
      <c r="AL52" s="2">
        <v>122.91</v>
      </c>
      <c r="AM52" s="2">
        <v>254.74</v>
      </c>
      <c r="AN52" s="2">
        <v>0.97</v>
      </c>
      <c r="AO52" s="2">
        <v>280.42</v>
      </c>
      <c r="AP52" s="2"/>
      <c r="AQ52" s="2">
        <v>499.25</v>
      </c>
      <c r="AR52" s="2">
        <v>5.06</v>
      </c>
      <c r="AS52" s="2">
        <v>1087.62</v>
      </c>
      <c r="AT52" s="2">
        <v>688.8</v>
      </c>
      <c r="AU52" s="2">
        <v>656.13</v>
      </c>
      <c r="AV52" s="2">
        <v>581.46</v>
      </c>
      <c r="AW52" s="2">
        <v>489.7</v>
      </c>
      <c r="AX52" s="2">
        <v>98.36</v>
      </c>
      <c r="AY52" s="2">
        <v>82.38</v>
      </c>
      <c r="AZ52" s="13">
        <f t="shared" si="20"/>
        <v>5790.44</v>
      </c>
      <c r="BA52" s="2">
        <f>W52+X52+Y52+Z52+AA52+AB52+AC52+AD52+AE52+AF52+AG52+AH52+AI52+AJ52+AK52+AL52+AM52+AN52+AO52+AP52+AQ52+AR52+AS52+AT52+AU52+AV52+AW52+AX52+AY52</f>
        <v>5790.44</v>
      </c>
      <c r="BB52" s="13">
        <v>139.11</v>
      </c>
      <c r="BC52" s="13">
        <f>C52+D52+E52+F52+G52+H52+I52+J52+U52+AZ52+BB52</f>
        <v>6381.709999999999</v>
      </c>
      <c r="BD52" s="2"/>
      <c r="BE52" s="89"/>
      <c r="BF52" s="20"/>
      <c r="BH52" s="19"/>
    </row>
    <row r="53" spans="1:59" ht="30" customHeight="1">
      <c r="A53" s="1">
        <v>19</v>
      </c>
      <c r="B53" s="18" t="s">
        <v>129</v>
      </c>
      <c r="C53" s="13">
        <v>7.15</v>
      </c>
      <c r="D53" s="13">
        <v>50.09</v>
      </c>
      <c r="E53" s="13">
        <v>87.7</v>
      </c>
      <c r="F53" s="13">
        <v>19.73</v>
      </c>
      <c r="G53" s="13">
        <v>4.23</v>
      </c>
      <c r="H53" s="13">
        <v>80.26</v>
      </c>
      <c r="I53" s="13">
        <v>4.77</v>
      </c>
      <c r="J53" s="13">
        <v>170.52</v>
      </c>
      <c r="K53" s="2">
        <v>333.27</v>
      </c>
      <c r="L53" s="2">
        <v>358.2</v>
      </c>
      <c r="M53" s="2">
        <v>491.13</v>
      </c>
      <c r="N53" s="2">
        <v>391.77</v>
      </c>
      <c r="O53" s="2">
        <v>36.28</v>
      </c>
      <c r="P53" s="2">
        <v>8.98</v>
      </c>
      <c r="Q53" s="2">
        <v>35.61</v>
      </c>
      <c r="R53" s="2">
        <v>81.44</v>
      </c>
      <c r="S53" s="2">
        <v>23.43</v>
      </c>
      <c r="T53" s="2">
        <v>11.87</v>
      </c>
      <c r="U53" s="13">
        <f t="shared" si="19"/>
        <v>1771.9799999999998</v>
      </c>
      <c r="V53" s="2">
        <f>K53+L53+M53+N53+O53+P53+Q53+R53+S53+T53</f>
        <v>1771.9799999999998</v>
      </c>
      <c r="W53" s="2">
        <v>959.91</v>
      </c>
      <c r="X53" s="2">
        <v>103.32</v>
      </c>
      <c r="Y53" s="2">
        <v>156.71</v>
      </c>
      <c r="Z53" s="2">
        <v>106.36</v>
      </c>
      <c r="AA53" s="2">
        <v>60.2</v>
      </c>
      <c r="AB53" s="2">
        <v>350.54</v>
      </c>
      <c r="AC53" s="2">
        <v>209.78</v>
      </c>
      <c r="AD53" s="2">
        <v>327.09</v>
      </c>
      <c r="AE53" s="2">
        <v>5.49</v>
      </c>
      <c r="AF53" s="2">
        <v>399.92</v>
      </c>
      <c r="AG53" s="2">
        <v>277.78</v>
      </c>
      <c r="AH53" s="2">
        <v>242.51</v>
      </c>
      <c r="AI53" s="2">
        <v>165.93</v>
      </c>
      <c r="AJ53" s="2">
        <v>102.39</v>
      </c>
      <c r="AK53" s="2">
        <v>66.56</v>
      </c>
      <c r="AL53" s="2">
        <v>456.15</v>
      </c>
      <c r="AM53" s="2">
        <v>929.17</v>
      </c>
      <c r="AN53" s="2">
        <v>3.66</v>
      </c>
      <c r="AO53" s="2">
        <v>988.1</v>
      </c>
      <c r="AP53" s="2"/>
      <c r="AQ53" s="2">
        <v>1901.05</v>
      </c>
      <c r="AR53" s="2">
        <v>15.04</v>
      </c>
      <c r="AS53" s="2">
        <v>4285.64</v>
      </c>
      <c r="AT53" s="2">
        <v>2682.75</v>
      </c>
      <c r="AU53" s="2">
        <v>2597.18</v>
      </c>
      <c r="AV53" s="2">
        <v>2164.04</v>
      </c>
      <c r="AW53" s="2">
        <v>1798.32</v>
      </c>
      <c r="AX53" s="2">
        <v>392.2</v>
      </c>
      <c r="AY53" s="2">
        <v>304.48</v>
      </c>
      <c r="AZ53" s="13">
        <f t="shared" si="20"/>
        <v>22052.27</v>
      </c>
      <c r="BA53" s="2">
        <f>W53+X53+Y53+Z53+AA53+AB53+AC53+AD53+AE53+AF53+AG53+AH53+AI53+AJ53+AK53+AL53+AM53+AN53+AO53+AP53+AQ53+AR53+AS53+AT53+AU53+AV53+AW53+AX53+AY53</f>
        <v>22052.27</v>
      </c>
      <c r="BB53" s="13">
        <v>347.9</v>
      </c>
      <c r="BC53" s="13">
        <f>BB53+AZ53+U53+J53+I53+H53+G53+F53+E53+D53+C53</f>
        <v>24596.600000000002</v>
      </c>
      <c r="BD53" s="2"/>
      <c r="BF53" s="20"/>
      <c r="BG53" s="19"/>
    </row>
    <row r="54" spans="1:58" ht="15.75" hidden="1">
      <c r="A54" s="1"/>
      <c r="B54" s="18"/>
      <c r="C54" s="13"/>
      <c r="D54" s="13"/>
      <c r="E54" s="13"/>
      <c r="F54" s="13"/>
      <c r="G54" s="13"/>
      <c r="H54" s="13"/>
      <c r="I54" s="13"/>
      <c r="J54" s="13"/>
      <c r="K54" s="63"/>
      <c r="L54" s="63"/>
      <c r="M54" s="2"/>
      <c r="N54" s="63"/>
      <c r="O54" s="2"/>
      <c r="P54" s="2"/>
      <c r="Q54" s="63"/>
      <c r="R54" s="2"/>
      <c r="S54" s="2"/>
      <c r="T54" s="2"/>
      <c r="U54" s="13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63"/>
      <c r="AT54" s="2"/>
      <c r="AU54" s="2"/>
      <c r="AV54" s="2"/>
      <c r="AW54" s="63"/>
      <c r="AX54" s="2"/>
      <c r="AY54" s="2"/>
      <c r="AZ54" s="13"/>
      <c r="BA54" s="2"/>
      <c r="BB54" s="13"/>
      <c r="BC54" s="64"/>
      <c r="BD54" s="2"/>
      <c r="BF54" s="20"/>
    </row>
    <row r="55" spans="1:58" ht="14.25" customHeight="1">
      <c r="A55" s="3"/>
      <c r="B55" s="4" t="s">
        <v>136</v>
      </c>
      <c r="C55" s="13">
        <v>4.02</v>
      </c>
      <c r="D55" s="13">
        <v>7.02</v>
      </c>
      <c r="E55" s="13">
        <v>18.71</v>
      </c>
      <c r="F55" s="13">
        <v>4.03</v>
      </c>
      <c r="G55" s="13">
        <v>2.31</v>
      </c>
      <c r="H55" s="13">
        <v>15.66</v>
      </c>
      <c r="I55" s="13">
        <v>1.01</v>
      </c>
      <c r="J55" s="13">
        <v>34.86</v>
      </c>
      <c r="K55" s="2">
        <v>48.45</v>
      </c>
      <c r="L55" s="2">
        <v>20.68</v>
      </c>
      <c r="M55" s="2">
        <v>99.47</v>
      </c>
      <c r="N55" s="2">
        <v>78.87</v>
      </c>
      <c r="O55" s="2">
        <v>7.72</v>
      </c>
      <c r="P55" s="2">
        <v>1.9</v>
      </c>
      <c r="Q55" s="2">
        <v>7.58</v>
      </c>
      <c r="R55" s="2">
        <v>14.62</v>
      </c>
      <c r="S55" s="2">
        <v>4.79</v>
      </c>
      <c r="T55" s="2">
        <v>9.34</v>
      </c>
      <c r="U55" s="13">
        <f>K55+L55+M55+N55+O55+P55+Q55+R55+S55+T55</f>
        <v>293.41999999999996</v>
      </c>
      <c r="V55" s="2"/>
      <c r="W55" s="2">
        <v>194.3</v>
      </c>
      <c r="X55" s="2">
        <v>20.69</v>
      </c>
      <c r="Y55" s="2">
        <v>34.15</v>
      </c>
      <c r="Z55" s="2">
        <v>21.48</v>
      </c>
      <c r="AA55" s="2">
        <v>12.32</v>
      </c>
      <c r="AB55" s="2">
        <v>71.17</v>
      </c>
      <c r="AC55" s="2">
        <v>42.56</v>
      </c>
      <c r="AD55" s="2">
        <v>68.01</v>
      </c>
      <c r="AE55" s="2">
        <v>1.1</v>
      </c>
      <c r="AF55" s="2">
        <v>81.42</v>
      </c>
      <c r="AG55" s="2">
        <v>57.52</v>
      </c>
      <c r="AH55" s="2">
        <v>50.44</v>
      </c>
      <c r="AI55" s="2">
        <v>33.86</v>
      </c>
      <c r="AJ55" s="2">
        <v>20.79</v>
      </c>
      <c r="AK55" s="2">
        <v>13.36</v>
      </c>
      <c r="AL55" s="2">
        <v>92.25</v>
      </c>
      <c r="AM55" s="2">
        <v>190.6</v>
      </c>
      <c r="AN55" s="2">
        <v>0.76</v>
      </c>
      <c r="AO55" s="2">
        <v>204.78</v>
      </c>
      <c r="AP55" s="2">
        <v>0</v>
      </c>
      <c r="AQ55" s="2">
        <v>389.36</v>
      </c>
      <c r="AR55" s="2">
        <v>3.26</v>
      </c>
      <c r="AS55" s="2">
        <v>864.36</v>
      </c>
      <c r="AT55" s="2">
        <v>544.8</v>
      </c>
      <c r="AU55" s="2">
        <v>524.83</v>
      </c>
      <c r="AV55" s="2">
        <v>444.06</v>
      </c>
      <c r="AW55" s="2">
        <v>369.75</v>
      </c>
      <c r="AX55" s="2">
        <v>78.64</v>
      </c>
      <c r="AY55" s="2">
        <v>62.54</v>
      </c>
      <c r="AZ55" s="13">
        <f t="shared" si="20"/>
        <v>4493.16</v>
      </c>
      <c r="BA55" s="2"/>
      <c r="BB55" s="13">
        <v>71.26</v>
      </c>
      <c r="BC55" s="13">
        <f>BB55+AZ55+U55+J55+I55+H55+G55+F55+E55+D55+C55</f>
        <v>4945.460000000001</v>
      </c>
      <c r="BD55" s="2"/>
      <c r="BF55" s="20"/>
    </row>
    <row r="56" spans="1:59" ht="25.5" customHeight="1">
      <c r="A56" s="1">
        <v>20</v>
      </c>
      <c r="B56" s="91" t="s">
        <v>147</v>
      </c>
      <c r="C56" s="13">
        <f aca="true" t="shared" si="21" ref="C56:U56">C17</f>
        <v>248.08598</v>
      </c>
      <c r="D56" s="13">
        <f t="shared" si="21"/>
        <v>800.26154</v>
      </c>
      <c r="E56" s="13">
        <f t="shared" si="21"/>
        <v>1257.17776</v>
      </c>
      <c r="F56" s="13">
        <f t="shared" si="21"/>
        <v>1495.4594200000001</v>
      </c>
      <c r="G56" s="13">
        <f t="shared" si="21"/>
        <v>126.59356000000001</v>
      </c>
      <c r="H56" s="13">
        <f t="shared" si="21"/>
        <v>1587.2678799999999</v>
      </c>
      <c r="I56" s="13">
        <f t="shared" si="21"/>
        <v>201.06568999999996</v>
      </c>
      <c r="J56" s="13">
        <f t="shared" si="21"/>
        <v>3601.4759</v>
      </c>
      <c r="K56" s="2">
        <f t="shared" si="21"/>
        <v>7987.10886</v>
      </c>
      <c r="L56" s="2">
        <f t="shared" si="21"/>
        <v>8210.48858</v>
      </c>
      <c r="M56" s="2">
        <f t="shared" si="21"/>
        <v>9753.99786</v>
      </c>
      <c r="N56" s="2">
        <f t="shared" si="21"/>
        <v>6960.6550799999995</v>
      </c>
      <c r="O56" s="2">
        <f t="shared" si="21"/>
        <v>1309.10532</v>
      </c>
      <c r="P56" s="2">
        <f t="shared" si="21"/>
        <v>458.26570000000004</v>
      </c>
      <c r="Q56" s="2">
        <f t="shared" si="21"/>
        <v>1134.2119599999999</v>
      </c>
      <c r="R56" s="2">
        <f t="shared" si="21"/>
        <v>3334.3341999999993</v>
      </c>
      <c r="S56" s="2">
        <f t="shared" si="21"/>
        <v>750.98695</v>
      </c>
      <c r="T56" s="2">
        <f>T17</f>
        <v>87.72180000000002</v>
      </c>
      <c r="U56" s="2">
        <f t="shared" si="21"/>
        <v>39986.87630999999</v>
      </c>
      <c r="V56" s="2"/>
      <c r="W56" s="2">
        <f aca="true" t="shared" si="22" ref="W56:AZ56">W17</f>
        <v>21207.37763</v>
      </c>
      <c r="X56" s="2">
        <f t="shared" si="22"/>
        <v>2390.7549600000007</v>
      </c>
      <c r="Y56" s="2">
        <f t="shared" si="22"/>
        <v>4280.6884</v>
      </c>
      <c r="Z56" s="2">
        <f t="shared" si="22"/>
        <v>2618.6367</v>
      </c>
      <c r="AA56" s="2">
        <f t="shared" si="22"/>
        <v>2366.1887099999994</v>
      </c>
      <c r="AB56" s="2">
        <f t="shared" si="22"/>
        <v>7724.851460000001</v>
      </c>
      <c r="AC56" s="2">
        <f t="shared" si="22"/>
        <v>4165.8679600000005</v>
      </c>
      <c r="AD56" s="2">
        <f t="shared" si="22"/>
        <v>8536.02034</v>
      </c>
      <c r="AE56" s="2">
        <f t="shared" si="22"/>
        <v>489.0133200000001</v>
      </c>
      <c r="AF56" s="2">
        <f t="shared" si="22"/>
        <v>10764.61965</v>
      </c>
      <c r="AG56" s="2">
        <f t="shared" si="22"/>
        <v>6387.35994</v>
      </c>
      <c r="AH56" s="2">
        <f t="shared" si="22"/>
        <v>5569.485190000001</v>
      </c>
      <c r="AI56" s="2">
        <f t="shared" si="22"/>
        <v>3715.65694</v>
      </c>
      <c r="AJ56" s="2">
        <f t="shared" si="22"/>
        <v>2197.4026900000003</v>
      </c>
      <c r="AK56" s="2">
        <f t="shared" si="22"/>
        <v>2714.0130599999993</v>
      </c>
      <c r="AL56" s="2">
        <f t="shared" si="22"/>
        <v>8079.1064099999985</v>
      </c>
      <c r="AM56" s="2">
        <f t="shared" si="22"/>
        <v>21142.634109999995</v>
      </c>
      <c r="AN56" s="2">
        <f t="shared" si="22"/>
        <v>1255.9621800000002</v>
      </c>
      <c r="AO56" s="2">
        <f t="shared" si="22"/>
        <v>20013.683519999995</v>
      </c>
      <c r="AP56" s="2"/>
      <c r="AQ56" s="2">
        <f t="shared" si="22"/>
        <v>26880.665680000002</v>
      </c>
      <c r="AR56" s="2">
        <f t="shared" si="22"/>
        <v>163.61036</v>
      </c>
      <c r="AS56" s="2">
        <f>AS17</f>
        <v>74332.42779999998</v>
      </c>
      <c r="AT56" s="2">
        <f t="shared" si="22"/>
        <v>46843.83035999999</v>
      </c>
      <c r="AU56" s="2">
        <f t="shared" si="22"/>
        <v>46725.773259999994</v>
      </c>
      <c r="AV56" s="2">
        <f t="shared" si="22"/>
        <v>41160.41404</v>
      </c>
      <c r="AW56" s="2">
        <f t="shared" si="22"/>
        <v>31504.76278</v>
      </c>
      <c r="AX56" s="2">
        <f t="shared" si="22"/>
        <v>7190.9</v>
      </c>
      <c r="AY56" s="2">
        <f t="shared" si="22"/>
        <v>5466.1748179999995</v>
      </c>
      <c r="AZ56" s="13">
        <f t="shared" si="22"/>
        <v>416068.236348</v>
      </c>
      <c r="BA56" s="2"/>
      <c r="BB56" s="13">
        <f>BB17</f>
        <v>9290.83828</v>
      </c>
      <c r="BC56" s="13">
        <f>BC17</f>
        <v>474663.338668</v>
      </c>
      <c r="BD56" s="2">
        <v>474663</v>
      </c>
      <c r="BF56" s="20"/>
      <c r="BG56" s="19"/>
    </row>
    <row r="57" spans="1:58" ht="15.75" hidden="1">
      <c r="A57" s="1">
        <v>11</v>
      </c>
      <c r="B57" s="18" t="s">
        <v>32</v>
      </c>
      <c r="C57" s="2" t="e">
        <f>#REF!-C56</f>
        <v>#REF!</v>
      </c>
      <c r="D57" s="2" t="e">
        <f>#REF!-D56</f>
        <v>#REF!</v>
      </c>
      <c r="E57" s="63" t="e">
        <f>#REF!-E56</f>
        <v>#REF!</v>
      </c>
      <c r="F57" s="63" t="e">
        <f>#REF!-F56</f>
        <v>#REF!</v>
      </c>
      <c r="G57" s="63" t="e">
        <f>#REF!-G56</f>
        <v>#REF!</v>
      </c>
      <c r="H57" s="63" t="e">
        <f>#REF!-H56</f>
        <v>#REF!</v>
      </c>
      <c r="I57" s="63" t="e">
        <f>#REF!-I56</f>
        <v>#REF!</v>
      </c>
      <c r="J57" s="63" t="e">
        <f>#REF!-J56</f>
        <v>#REF!</v>
      </c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 t="e">
        <f>#REF!-U56</f>
        <v>#REF!</v>
      </c>
      <c r="V57" s="2" t="e">
        <f>U57/#REF!</f>
        <v>#REF!</v>
      </c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2"/>
      <c r="AQ57" s="63"/>
      <c r="AR57" s="63"/>
      <c r="AS57" s="63">
        <f>SUM(AS18:AS56)</f>
        <v>207114.44709610697</v>
      </c>
      <c r="AT57" s="63"/>
      <c r="AU57" s="63"/>
      <c r="AV57" s="63"/>
      <c r="AW57" s="63"/>
      <c r="AX57" s="63"/>
      <c r="AY57" s="63"/>
      <c r="AZ57" s="63" t="e">
        <f>#REF!-AZ56</f>
        <v>#REF!</v>
      </c>
      <c r="BA57" s="2"/>
      <c r="BB57" s="63" t="e">
        <f>#REF!-BB56</f>
        <v>#REF!</v>
      </c>
      <c r="BC57" s="63" t="e">
        <f>#REF!+BC68-BC56</f>
        <v>#REF!</v>
      </c>
      <c r="BD57" s="2"/>
      <c r="BF57" s="20"/>
    </row>
    <row r="58" spans="1:58" ht="15.75" hidden="1">
      <c r="A58" s="1"/>
      <c r="B58" s="18"/>
      <c r="C58" s="2" t="e">
        <f aca="true" t="shared" si="23" ref="C58:J58">C79</f>
        <v>#REF!</v>
      </c>
      <c r="D58" s="2" t="e">
        <f t="shared" si="23"/>
        <v>#REF!</v>
      </c>
      <c r="E58" s="63" t="e">
        <f t="shared" si="23"/>
        <v>#REF!</v>
      </c>
      <c r="F58" s="63" t="e">
        <f t="shared" si="23"/>
        <v>#REF!</v>
      </c>
      <c r="G58" s="63" t="e">
        <f t="shared" si="23"/>
        <v>#REF!</v>
      </c>
      <c r="H58" s="63" t="e">
        <f t="shared" si="23"/>
        <v>#REF!</v>
      </c>
      <c r="I58" s="63" t="e">
        <f t="shared" si="23"/>
        <v>#REF!</v>
      </c>
      <c r="J58" s="63" t="e">
        <f t="shared" si="23"/>
        <v>#REF!</v>
      </c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 t="e">
        <f>U79</f>
        <v>#REF!</v>
      </c>
      <c r="V58" s="2" t="e">
        <f>U58/#REF!</f>
        <v>#REF!</v>
      </c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2"/>
      <c r="AQ58" s="63"/>
      <c r="AR58" s="63"/>
      <c r="AS58" s="63"/>
      <c r="AT58" s="63"/>
      <c r="AU58" s="63"/>
      <c r="AV58" s="63"/>
      <c r="AW58" s="63"/>
      <c r="AX58" s="63"/>
      <c r="AY58" s="63"/>
      <c r="AZ58" s="63" t="e">
        <f>AZ79</f>
        <v>#REF!</v>
      </c>
      <c r="BA58" s="2"/>
      <c r="BB58" s="63" t="e">
        <f>BB79</f>
        <v>#REF!</v>
      </c>
      <c r="BC58" s="63" t="e">
        <f>BC79</f>
        <v>#REF!</v>
      </c>
      <c r="BD58" s="2"/>
      <c r="BF58" s="20"/>
    </row>
    <row r="59" spans="1:58" ht="31.5" hidden="1">
      <c r="A59" s="1"/>
      <c r="B59" s="24" t="s">
        <v>35</v>
      </c>
      <c r="C59" s="2" t="e">
        <f aca="true" t="shared" si="24" ref="C59:J59">-C57</f>
        <v>#REF!</v>
      </c>
      <c r="D59" s="2" t="e">
        <f t="shared" si="24"/>
        <v>#REF!</v>
      </c>
      <c r="E59" s="63" t="e">
        <f t="shared" si="24"/>
        <v>#REF!</v>
      </c>
      <c r="F59" s="63" t="e">
        <f t="shared" si="24"/>
        <v>#REF!</v>
      </c>
      <c r="G59" s="63" t="e">
        <f t="shared" si="24"/>
        <v>#REF!</v>
      </c>
      <c r="H59" s="63" t="e">
        <f t="shared" si="24"/>
        <v>#REF!</v>
      </c>
      <c r="I59" s="63" t="e">
        <f t="shared" si="24"/>
        <v>#REF!</v>
      </c>
      <c r="J59" s="63" t="e">
        <f t="shared" si="24"/>
        <v>#REF!</v>
      </c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 t="e">
        <f>-U57</f>
        <v>#REF!</v>
      </c>
      <c r="V59" s="2" t="e">
        <f>U59/#REF!</f>
        <v>#REF!</v>
      </c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2"/>
      <c r="AQ59" s="63"/>
      <c r="AR59" s="63"/>
      <c r="AS59" s="63"/>
      <c r="AT59" s="63"/>
      <c r="AU59" s="63"/>
      <c r="AV59" s="63"/>
      <c r="AW59" s="63"/>
      <c r="AX59" s="63"/>
      <c r="AY59" s="63"/>
      <c r="AZ59" s="63" t="e">
        <f>-AZ57</f>
        <v>#REF!</v>
      </c>
      <c r="BA59" s="2"/>
      <c r="BB59" s="63" t="e">
        <f>-BB57</f>
        <v>#REF!</v>
      </c>
      <c r="BC59" s="63" t="e">
        <f>-BC57</f>
        <v>#REF!</v>
      </c>
      <c r="BD59" s="2"/>
      <c r="BF59" s="20"/>
    </row>
    <row r="60" spans="1:58" ht="49.5" customHeight="1" hidden="1">
      <c r="A60" s="1">
        <v>14</v>
      </c>
      <c r="B60" s="25" t="s">
        <v>38</v>
      </c>
      <c r="C60" s="2">
        <f aca="true" t="shared" si="25" ref="C60:J60">C71-C74</f>
        <v>2.1599999999999997</v>
      </c>
      <c r="D60" s="2">
        <f t="shared" si="25"/>
        <v>7.99</v>
      </c>
      <c r="E60" s="63">
        <f t="shared" si="25"/>
        <v>15.910000000000002</v>
      </c>
      <c r="F60" s="63">
        <f t="shared" si="25"/>
        <v>3.36</v>
      </c>
      <c r="G60" s="63">
        <f t="shared" si="25"/>
        <v>0.8600000000000001</v>
      </c>
      <c r="H60" s="63">
        <f t="shared" si="25"/>
        <v>14.37</v>
      </c>
      <c r="I60" s="63">
        <f t="shared" si="25"/>
        <v>6.71</v>
      </c>
      <c r="J60" s="63">
        <f t="shared" si="25"/>
        <v>28.68</v>
      </c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>
        <f>U71-U74</f>
        <v>303.67</v>
      </c>
      <c r="V60" s="2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2"/>
      <c r="AQ60" s="63"/>
      <c r="AR60" s="63"/>
      <c r="AS60" s="63"/>
      <c r="AT60" s="63"/>
      <c r="AU60" s="63"/>
      <c r="AV60" s="63"/>
      <c r="AW60" s="63"/>
      <c r="AX60" s="63"/>
      <c r="AY60" s="63"/>
      <c r="AZ60" s="63">
        <f>AZ71-AZ74</f>
        <v>3715.67</v>
      </c>
      <c r="BA60" s="2"/>
      <c r="BB60" s="63">
        <f>BB71-BB74</f>
        <v>58.62</v>
      </c>
      <c r="BC60" s="63">
        <f>BC71-BC74</f>
        <v>4158</v>
      </c>
      <c r="BD60" s="2"/>
      <c r="BF60" s="20"/>
    </row>
    <row r="61" spans="1:58" ht="23.25" customHeight="1" hidden="1">
      <c r="A61" s="1">
        <v>15</v>
      </c>
      <c r="B61" s="25" t="s">
        <v>33</v>
      </c>
      <c r="C61" s="2">
        <f aca="true" t="shared" si="26" ref="C61:J62">C72</f>
        <v>27.39</v>
      </c>
      <c r="D61" s="2">
        <f t="shared" si="26"/>
        <v>101.3</v>
      </c>
      <c r="E61" s="63">
        <f t="shared" si="26"/>
        <v>201.66</v>
      </c>
      <c r="F61" s="63">
        <f t="shared" si="26"/>
        <v>42.53</v>
      </c>
      <c r="G61" s="63">
        <f t="shared" si="26"/>
        <v>10.88</v>
      </c>
      <c r="H61" s="63">
        <f t="shared" si="26"/>
        <v>182.19</v>
      </c>
      <c r="I61" s="63">
        <f t="shared" si="26"/>
        <v>84.98</v>
      </c>
      <c r="J61" s="63">
        <f t="shared" si="26"/>
        <v>363.56</v>
      </c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>
        <f>U72</f>
        <v>3848.88</v>
      </c>
      <c r="V61" s="2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2"/>
      <c r="AQ61" s="63"/>
      <c r="AR61" s="63"/>
      <c r="AS61" s="63"/>
      <c r="AT61" s="63"/>
      <c r="AU61" s="63"/>
      <c r="AV61" s="63"/>
      <c r="AW61" s="63"/>
      <c r="AX61" s="63"/>
      <c r="AY61" s="63"/>
      <c r="AZ61" s="63">
        <f>AZ72</f>
        <v>47095.53</v>
      </c>
      <c r="BA61" s="2"/>
      <c r="BB61" s="63">
        <f>BB72</f>
        <v>743.09</v>
      </c>
      <c r="BC61" s="63">
        <f>BC72</f>
        <v>52701.99</v>
      </c>
      <c r="BD61" s="2"/>
      <c r="BF61" s="20"/>
    </row>
    <row r="62" spans="1:58" ht="48.75" customHeight="1" hidden="1">
      <c r="A62" s="1">
        <v>16</v>
      </c>
      <c r="B62" s="25" t="s">
        <v>37</v>
      </c>
      <c r="C62" s="2">
        <f t="shared" si="26"/>
        <v>0.97</v>
      </c>
      <c r="D62" s="2">
        <f t="shared" si="26"/>
        <v>3.57</v>
      </c>
      <c r="E62" s="63">
        <f t="shared" si="26"/>
        <v>7.11</v>
      </c>
      <c r="F62" s="63">
        <f t="shared" si="26"/>
        <v>1.5</v>
      </c>
      <c r="G62" s="63">
        <f t="shared" si="26"/>
        <v>0.38</v>
      </c>
      <c r="H62" s="63">
        <f t="shared" si="26"/>
        <v>6.42</v>
      </c>
      <c r="I62" s="63">
        <f t="shared" si="26"/>
        <v>2.99</v>
      </c>
      <c r="J62" s="63">
        <f t="shared" si="26"/>
        <v>12.81</v>
      </c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>
        <f>U73</f>
        <v>135.62</v>
      </c>
      <c r="V62" s="2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2"/>
      <c r="AQ62" s="63"/>
      <c r="AR62" s="63"/>
      <c r="AS62" s="63"/>
      <c r="AT62" s="63"/>
      <c r="AU62" s="63"/>
      <c r="AV62" s="63"/>
      <c r="AW62" s="63"/>
      <c r="AX62" s="63"/>
      <c r="AY62" s="63"/>
      <c r="AZ62" s="63">
        <f>AZ73</f>
        <v>1659.45</v>
      </c>
      <c r="BA62" s="2"/>
      <c r="BB62" s="63">
        <f>BB73</f>
        <v>26.18</v>
      </c>
      <c r="BC62" s="63">
        <f>BC73</f>
        <v>1857.0000000000002</v>
      </c>
      <c r="BD62" s="2"/>
      <c r="BF62" s="20"/>
    </row>
    <row r="63" spans="1:58" ht="15.75" hidden="1">
      <c r="A63" s="1"/>
      <c r="B63" s="25" t="s">
        <v>36</v>
      </c>
      <c r="C63" s="2">
        <f aca="true" t="shared" si="27" ref="C63:J63">C75</f>
        <v>1.79</v>
      </c>
      <c r="D63" s="2">
        <f t="shared" si="27"/>
        <v>6.61</v>
      </c>
      <c r="E63" s="63">
        <f t="shared" si="27"/>
        <v>13.15</v>
      </c>
      <c r="F63" s="63">
        <f t="shared" si="27"/>
        <v>2.77</v>
      </c>
      <c r="G63" s="63">
        <f t="shared" si="27"/>
        <v>0.71</v>
      </c>
      <c r="H63" s="63">
        <f t="shared" si="27"/>
        <v>11.88</v>
      </c>
      <c r="I63" s="63">
        <f t="shared" si="27"/>
        <v>5.54</v>
      </c>
      <c r="J63" s="63">
        <f t="shared" si="27"/>
        <v>23.71</v>
      </c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>
        <f>U75</f>
        <v>251.01</v>
      </c>
      <c r="V63" s="2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2"/>
      <c r="AQ63" s="63"/>
      <c r="AR63" s="63"/>
      <c r="AS63" s="63"/>
      <c r="AT63" s="63"/>
      <c r="AU63" s="63"/>
      <c r="AV63" s="63"/>
      <c r="AW63" s="63"/>
      <c r="AX63" s="63"/>
      <c r="AY63" s="63"/>
      <c r="AZ63" s="63">
        <f>AZ75+AZ68</f>
        <v>3895.94</v>
      </c>
      <c r="BA63" s="2"/>
      <c r="BB63" s="63">
        <f>BB75</f>
        <v>48.46</v>
      </c>
      <c r="BC63" s="63">
        <f>BC75+BC68</f>
        <v>4261.57</v>
      </c>
      <c r="BD63" s="2"/>
      <c r="BF63" s="20"/>
    </row>
    <row r="64" spans="1:58" ht="20.25" customHeight="1" hidden="1">
      <c r="A64" s="1"/>
      <c r="B64" s="25" t="s">
        <v>34</v>
      </c>
      <c r="C64" s="2">
        <f aca="true" t="shared" si="28" ref="C64:J64">-C78</f>
        <v>-8.7</v>
      </c>
      <c r="D64" s="2">
        <f t="shared" si="28"/>
        <v>-32.18</v>
      </c>
      <c r="E64" s="63">
        <f t="shared" si="28"/>
        <v>-64.06</v>
      </c>
      <c r="F64" s="63">
        <f t="shared" si="28"/>
        <v>-13.51</v>
      </c>
      <c r="G64" s="63">
        <f t="shared" si="28"/>
        <v>-3.46</v>
      </c>
      <c r="H64" s="63">
        <f t="shared" si="28"/>
        <v>-57.87</v>
      </c>
      <c r="I64" s="63">
        <f t="shared" si="28"/>
        <v>-26.99</v>
      </c>
      <c r="J64" s="63">
        <f t="shared" si="28"/>
        <v>-115.49</v>
      </c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>
        <f>-U78</f>
        <v>-1222.61</v>
      </c>
      <c r="V64" s="2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2"/>
      <c r="AQ64" s="63"/>
      <c r="AR64" s="63"/>
      <c r="AS64" s="63"/>
      <c r="AT64" s="63"/>
      <c r="AU64" s="63"/>
      <c r="AV64" s="63"/>
      <c r="AW64" s="63"/>
      <c r="AX64" s="63"/>
      <c r="AY64" s="63"/>
      <c r="AZ64" s="72">
        <f>-AZ78</f>
        <v>-14948.08</v>
      </c>
      <c r="BA64" s="2"/>
      <c r="BB64" s="63">
        <f>-BB78</f>
        <v>-236.05</v>
      </c>
      <c r="BC64" s="63">
        <f>-BC78</f>
        <v>-16729</v>
      </c>
      <c r="BD64" s="2"/>
      <c r="BF64" s="20"/>
    </row>
    <row r="65" spans="1:58" ht="15.75">
      <c r="A65" s="1">
        <v>21</v>
      </c>
      <c r="B65" s="25" t="s">
        <v>162</v>
      </c>
      <c r="C65" s="69">
        <f>C4-C56</f>
        <v>-15.28298000000001</v>
      </c>
      <c r="D65" s="92">
        <f>D4-D17</f>
        <v>207.50045999999998</v>
      </c>
      <c r="E65" s="92">
        <f>E4-E56</f>
        <v>748.7402399999999</v>
      </c>
      <c r="F65" s="69">
        <f>F4-F17</f>
        <v>-1113.76942</v>
      </c>
      <c r="G65" s="69">
        <f>G4-G17</f>
        <v>-37.442560000000014</v>
      </c>
      <c r="H65" s="92">
        <f>H4-H56</f>
        <v>230.00912000000017</v>
      </c>
      <c r="I65" s="69">
        <f>I4-I56</f>
        <v>-94.54468999999996</v>
      </c>
      <c r="J65" s="69">
        <f>J4-J56</f>
        <v>-371.9389000000001</v>
      </c>
      <c r="K65" s="69">
        <f>K4-K17</f>
        <v>-1731.9388600000002</v>
      </c>
      <c r="L65" s="69">
        <f>L4-L17</f>
        <v>-1518.9365799999996</v>
      </c>
      <c r="M65" s="69">
        <f>M4-M17</f>
        <v>-695.1368599999987</v>
      </c>
      <c r="N65" s="93">
        <f>N4-N17</f>
        <v>179.20792000000074</v>
      </c>
      <c r="O65" s="69">
        <f>O4-O17</f>
        <v>-487.30531999999994</v>
      </c>
      <c r="P65" s="69">
        <f aca="true" t="shared" si="29" ref="P65:U65">P4-P17</f>
        <v>-255.80970000000005</v>
      </c>
      <c r="Q65" s="69">
        <f t="shared" si="29"/>
        <v>-371.6819599999999</v>
      </c>
      <c r="R65" s="69">
        <f t="shared" si="29"/>
        <v>-1721.4001999999994</v>
      </c>
      <c r="S65" s="69">
        <f t="shared" si="29"/>
        <v>-296.07495</v>
      </c>
      <c r="T65" s="93">
        <f t="shared" si="29"/>
        <v>8.752199999999988</v>
      </c>
      <c r="U65" s="69">
        <f t="shared" si="29"/>
        <v>-6890.324309999996</v>
      </c>
      <c r="V65" s="61"/>
      <c r="W65" s="69">
        <f>W4-W56</f>
        <v>-3509.162629999999</v>
      </c>
      <c r="X65" s="69">
        <f aca="true" t="shared" si="30" ref="X65:AZ65">X4-X17</f>
        <v>-555.0339600000007</v>
      </c>
      <c r="Y65" s="69">
        <f t="shared" si="30"/>
        <v>-862.4663999999998</v>
      </c>
      <c r="Z65" s="69">
        <f t="shared" si="30"/>
        <v>-656.4386999999999</v>
      </c>
      <c r="AA65" s="69">
        <f t="shared" si="30"/>
        <v>-1200.1247099999994</v>
      </c>
      <c r="AB65" s="69">
        <f t="shared" si="30"/>
        <v>-1150.9564600000003</v>
      </c>
      <c r="AC65" s="69">
        <f t="shared" si="30"/>
        <v>-263.72096000000056</v>
      </c>
      <c r="AD65" s="69">
        <f t="shared" si="30"/>
        <v>-2002.6423399999994</v>
      </c>
      <c r="AE65" s="69">
        <f t="shared" si="30"/>
        <v>-392.06932000000006</v>
      </c>
      <c r="AF65" s="69">
        <f t="shared" si="30"/>
        <v>-3221.2346500000003</v>
      </c>
      <c r="AG65" s="69">
        <f t="shared" si="30"/>
        <v>-797.99694</v>
      </c>
      <c r="AH65" s="69">
        <f t="shared" si="30"/>
        <v>-653.0271900000016</v>
      </c>
      <c r="AI65" s="69">
        <f t="shared" si="30"/>
        <v>-565.97894</v>
      </c>
      <c r="AJ65" s="69">
        <f t="shared" si="30"/>
        <v>-269.16569000000027</v>
      </c>
      <c r="AK65" s="69">
        <f t="shared" si="30"/>
        <v>-1519.5770599999994</v>
      </c>
      <c r="AL65" s="92">
        <f t="shared" si="30"/>
        <v>374.80159000000094</v>
      </c>
      <c r="AM65" s="69">
        <f t="shared" si="30"/>
        <v>-2956.1391099999964</v>
      </c>
      <c r="AN65" s="69">
        <f t="shared" si="30"/>
        <v>-1186.6191800000001</v>
      </c>
      <c r="AO65" s="92">
        <f t="shared" si="30"/>
        <v>7.10348000000522</v>
      </c>
      <c r="AP65" s="61">
        <f t="shared" si="30"/>
        <v>-180.35407999999998</v>
      </c>
      <c r="AQ65" s="92">
        <f t="shared" si="30"/>
        <v>8761.742320000001</v>
      </c>
      <c r="AR65" s="92">
        <f t="shared" si="30"/>
        <v>186.25864000000004</v>
      </c>
      <c r="AS65" s="92">
        <f t="shared" si="30"/>
        <v>3315.1992000000173</v>
      </c>
      <c r="AT65" s="92">
        <f t="shared" si="30"/>
        <v>3045.440640000008</v>
      </c>
      <c r="AU65" s="92">
        <f t="shared" si="30"/>
        <v>830.9687400000039</v>
      </c>
      <c r="AV65" s="92">
        <f t="shared" si="30"/>
        <v>352.38995999999315</v>
      </c>
      <c r="AW65" s="92">
        <f t="shared" si="30"/>
        <v>3456.5162200000013</v>
      </c>
      <c r="AX65" s="69">
        <f t="shared" si="30"/>
        <v>-165.28499999999985</v>
      </c>
      <c r="AY65" s="92">
        <f t="shared" si="30"/>
        <v>415.29518200000075</v>
      </c>
      <c r="AZ65" s="69">
        <f t="shared" si="30"/>
        <v>-1362.2773480000906</v>
      </c>
      <c r="BA65" s="61"/>
      <c r="BB65" s="69">
        <f>BB4-BB56</f>
        <v>-2644.00928</v>
      </c>
      <c r="BC65" s="80">
        <f>BC4-BC17</f>
        <v>-11343.339668</v>
      </c>
      <c r="BD65" s="2"/>
      <c r="BF65" s="20"/>
    </row>
    <row r="66" spans="1:58" ht="17.25" customHeight="1">
      <c r="A66" s="1">
        <v>22</v>
      </c>
      <c r="B66" s="1" t="s">
        <v>18</v>
      </c>
      <c r="C66" s="13">
        <f aca="true" t="shared" si="31" ref="C66:U66">C56/C5*1000</f>
        <v>1756.3982243870666</v>
      </c>
      <c r="D66" s="13">
        <f t="shared" si="31"/>
        <v>6241.608092719984</v>
      </c>
      <c r="E66" s="13">
        <f t="shared" si="31"/>
        <v>9611.377283048296</v>
      </c>
      <c r="F66" s="13">
        <f t="shared" si="31"/>
        <v>6457.6363243803435</v>
      </c>
      <c r="G66" s="13">
        <f t="shared" si="31"/>
        <v>2340.424477722315</v>
      </c>
      <c r="H66" s="13">
        <f t="shared" si="31"/>
        <v>8450.42074608828</v>
      </c>
      <c r="I66" s="13">
        <f t="shared" si="31"/>
        <v>8079.46998312304</v>
      </c>
      <c r="J66" s="13">
        <f t="shared" si="31"/>
        <v>1838.0194168415046</v>
      </c>
      <c r="K66" s="13">
        <f t="shared" si="31"/>
        <v>1798.807236119791</v>
      </c>
      <c r="L66" s="13">
        <f t="shared" si="31"/>
        <v>1728.526458881097</v>
      </c>
      <c r="M66" s="13">
        <f t="shared" si="31"/>
        <v>1516.8511972381295</v>
      </c>
      <c r="N66" s="13">
        <f t="shared" si="31"/>
        <v>1373.3908235347044</v>
      </c>
      <c r="O66" s="13">
        <f t="shared" si="31"/>
        <v>2244.1010432773237</v>
      </c>
      <c r="P66" s="13">
        <f t="shared" si="31"/>
        <v>3188.756062429982</v>
      </c>
      <c r="Q66" s="13">
        <f t="shared" si="31"/>
        <v>2095.4217125670402</v>
      </c>
      <c r="R66" s="13">
        <f t="shared" si="31"/>
        <v>2912.2348769367823</v>
      </c>
      <c r="S66" s="13">
        <f t="shared" si="31"/>
        <v>2325.6202019701536</v>
      </c>
      <c r="T66" s="13">
        <f t="shared" si="31"/>
        <v>1280.9468181419938</v>
      </c>
      <c r="U66" s="13">
        <f t="shared" si="31"/>
        <v>1702.03577976567</v>
      </c>
      <c r="V66" s="13"/>
      <c r="W66" s="13">
        <f aca="true" t="shared" si="32" ref="W66:AZ66">W56/W5*1000</f>
        <v>1624.5171427667528</v>
      </c>
      <c r="X66" s="13">
        <f t="shared" si="32"/>
        <v>1765.6118387139184</v>
      </c>
      <c r="Y66" s="13">
        <f t="shared" si="32"/>
        <v>1697.7750032522233</v>
      </c>
      <c r="Z66" s="13">
        <f t="shared" si="32"/>
        <v>1809.2529284392667</v>
      </c>
      <c r="AA66" s="13">
        <f t="shared" si="32"/>
        <v>2751.0207495991795</v>
      </c>
      <c r="AB66" s="13">
        <f t="shared" si="32"/>
        <v>1593.067550250132</v>
      </c>
      <c r="AC66" s="13">
        <f t="shared" si="32"/>
        <v>1447.3337467711033</v>
      </c>
      <c r="AD66" s="13">
        <f t="shared" si="32"/>
        <v>1771.2687325332483</v>
      </c>
      <c r="AE66" s="13">
        <f t="shared" si="32"/>
        <v>6838.581976841754</v>
      </c>
      <c r="AF66" s="13">
        <f t="shared" si="32"/>
        <v>1934.635869434333</v>
      </c>
      <c r="AG66" s="13">
        <f t="shared" si="32"/>
        <v>1549.265526527767</v>
      </c>
      <c r="AH66" s="13">
        <f t="shared" si="32"/>
        <v>1535.781837604599</v>
      </c>
      <c r="AI66" s="13">
        <f t="shared" si="32"/>
        <v>1599.3234271724139</v>
      </c>
      <c r="AJ66" s="13">
        <f t="shared" si="32"/>
        <v>1544.955586272453</v>
      </c>
      <c r="AK66" s="13">
        <f t="shared" si="32"/>
        <v>3080.458207440734</v>
      </c>
      <c r="AL66" s="13">
        <f t="shared" si="32"/>
        <v>1295.6049933777317</v>
      </c>
      <c r="AM66" s="13">
        <f t="shared" si="32"/>
        <v>1576.0750683315616</v>
      </c>
      <c r="AN66" s="13">
        <f t="shared" si="32"/>
        <v>24554.970380652605</v>
      </c>
      <c r="AO66" s="13">
        <f t="shared" si="32"/>
        <v>1355.2282966717084</v>
      </c>
      <c r="AP66" s="13" t="e">
        <f t="shared" si="32"/>
        <v>#DIV/0!</v>
      </c>
      <c r="AQ66" s="13">
        <f t="shared" si="32"/>
        <v>1022.4446014588342</v>
      </c>
      <c r="AR66" s="13">
        <f t="shared" si="32"/>
        <v>633.9742163978129</v>
      </c>
      <c r="AS66" s="13">
        <f t="shared" si="32"/>
        <v>1297.8279333663504</v>
      </c>
      <c r="AT66" s="13">
        <f t="shared" si="32"/>
        <v>1272.9520343936338</v>
      </c>
      <c r="AU66" s="13">
        <f t="shared" si="32"/>
        <v>1332.021391467667</v>
      </c>
      <c r="AV66" s="13">
        <f t="shared" si="32"/>
        <v>1344.2011152838115</v>
      </c>
      <c r="AW66" s="13">
        <f t="shared" si="32"/>
        <v>1221.6750549447695</v>
      </c>
      <c r="AX66" s="13">
        <f t="shared" si="32"/>
        <v>1387.6045879773997</v>
      </c>
      <c r="AY66" s="13">
        <f t="shared" si="32"/>
        <v>1259.9822782913564</v>
      </c>
      <c r="AZ66" s="13">
        <f t="shared" si="32"/>
        <v>1360.163414446158</v>
      </c>
      <c r="BA66" s="13"/>
      <c r="BB66" s="13">
        <f>BB56/BB5*1000</f>
        <v>1866.2387654126567</v>
      </c>
      <c r="BC66" s="13">
        <f>BC56/BC5*1000</f>
        <v>1407.5534972445423</v>
      </c>
      <c r="BD66" s="13"/>
      <c r="BF66" s="20"/>
    </row>
    <row r="67" spans="1:58" ht="15.75">
      <c r="A67" s="1">
        <v>23</v>
      </c>
      <c r="B67" s="1" t="s">
        <v>169</v>
      </c>
      <c r="C67" s="13">
        <v>1648.2</v>
      </c>
      <c r="D67" s="13">
        <v>7859.3</v>
      </c>
      <c r="E67" s="13">
        <f>E7</f>
        <v>15335.64728098409</v>
      </c>
      <c r="F67" s="13">
        <v>1648.2</v>
      </c>
      <c r="G67" s="13">
        <v>1648.2</v>
      </c>
      <c r="H67" s="13">
        <v>9674.96</v>
      </c>
      <c r="I67" s="13">
        <v>4280.38</v>
      </c>
      <c r="J67" s="13">
        <v>1648.2</v>
      </c>
      <c r="K67" s="13">
        <v>1408.75</v>
      </c>
      <c r="L67" s="13">
        <v>1408.75</v>
      </c>
      <c r="M67" s="13">
        <v>1408.75</v>
      </c>
      <c r="N67" s="13">
        <v>1408.75</v>
      </c>
      <c r="O67" s="13">
        <v>1408.75</v>
      </c>
      <c r="P67" s="13">
        <v>1408.75</v>
      </c>
      <c r="Q67" s="13">
        <v>1408.75</v>
      </c>
      <c r="R67" s="13">
        <v>1408.75</v>
      </c>
      <c r="S67" s="13">
        <v>1408.75</v>
      </c>
      <c r="T67" s="13">
        <v>1408.75</v>
      </c>
      <c r="U67" s="13">
        <v>1408.75</v>
      </c>
      <c r="V67" s="13"/>
      <c r="W67" s="13">
        <v>1355.71</v>
      </c>
      <c r="X67" s="13">
        <v>1355.71</v>
      </c>
      <c r="Y67" s="13">
        <v>1355.71</v>
      </c>
      <c r="Z67" s="13">
        <v>1355.71</v>
      </c>
      <c r="AA67" s="13">
        <v>1355.71</v>
      </c>
      <c r="AB67" s="13">
        <v>1355.71</v>
      </c>
      <c r="AC67" s="13">
        <v>1355.71</v>
      </c>
      <c r="AD67" s="13">
        <v>1355.71</v>
      </c>
      <c r="AE67" s="13">
        <v>1355.71</v>
      </c>
      <c r="AF67" s="13">
        <v>1355.71</v>
      </c>
      <c r="AG67" s="13">
        <v>1355.71</v>
      </c>
      <c r="AH67" s="13">
        <v>1355.71</v>
      </c>
      <c r="AI67" s="13">
        <v>1355.71</v>
      </c>
      <c r="AJ67" s="13">
        <v>1355.71</v>
      </c>
      <c r="AK67" s="13">
        <v>1355.71</v>
      </c>
      <c r="AL67" s="13">
        <v>1355.71</v>
      </c>
      <c r="AM67" s="13">
        <v>1355.71</v>
      </c>
      <c r="AN67" s="13">
        <v>1355.71</v>
      </c>
      <c r="AO67" s="13">
        <v>1355.71</v>
      </c>
      <c r="AP67" s="13">
        <v>1355.71</v>
      </c>
      <c r="AQ67" s="13">
        <v>1355.71</v>
      </c>
      <c r="AR67" s="13">
        <v>1355.71</v>
      </c>
      <c r="AS67" s="13">
        <v>1355.71</v>
      </c>
      <c r="AT67" s="13">
        <v>1355.71</v>
      </c>
      <c r="AU67" s="13">
        <v>1355.71</v>
      </c>
      <c r="AV67" s="13">
        <v>1355.71</v>
      </c>
      <c r="AW67" s="13">
        <v>1355.71</v>
      </c>
      <c r="AX67" s="13">
        <v>1355.71</v>
      </c>
      <c r="AY67" s="13">
        <v>1355.71</v>
      </c>
      <c r="AZ67" s="13">
        <v>1355.71</v>
      </c>
      <c r="BA67" s="13"/>
      <c r="BB67" s="13">
        <v>1335.14</v>
      </c>
      <c r="BC67" s="13">
        <f>BC4/BC5*1000</f>
        <v>1373.916272459222</v>
      </c>
      <c r="BD67" s="13"/>
      <c r="BE67" s="19"/>
      <c r="BF67" s="20"/>
    </row>
    <row r="68" spans="1:58" ht="15.75" hidden="1">
      <c r="A68" s="35" t="s">
        <v>27</v>
      </c>
      <c r="B68" s="8" t="s">
        <v>20</v>
      </c>
      <c r="C68" s="31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7">
        <v>0</v>
      </c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7">
        <v>824.57</v>
      </c>
      <c r="BA68" s="38"/>
      <c r="BB68" s="37">
        <v>0</v>
      </c>
      <c r="BC68" s="37">
        <v>824.57</v>
      </c>
      <c r="BD68" s="38"/>
      <c r="BF68" s="20"/>
    </row>
    <row r="69" spans="1:58" ht="15.75" hidden="1">
      <c r="A69" s="34" t="s">
        <v>116</v>
      </c>
      <c r="B69" s="36" t="s">
        <v>22</v>
      </c>
      <c r="C69" s="30">
        <f aca="true" t="shared" si="33" ref="C69:J69">C70+C71+C72+C73</f>
        <v>30.68</v>
      </c>
      <c r="D69" s="33">
        <f t="shared" si="33"/>
        <v>113.46</v>
      </c>
      <c r="E69" s="33">
        <f t="shared" si="33"/>
        <v>225.87</v>
      </c>
      <c r="F69" s="33">
        <f t="shared" si="33"/>
        <v>47.64</v>
      </c>
      <c r="G69" s="33">
        <f t="shared" si="33"/>
        <v>12.180000000000001</v>
      </c>
      <c r="H69" s="33">
        <f t="shared" si="33"/>
        <v>204.05999999999997</v>
      </c>
      <c r="I69" s="33">
        <f t="shared" si="33"/>
        <v>95.17999999999999</v>
      </c>
      <c r="J69" s="33">
        <f t="shared" si="33"/>
        <v>407.2</v>
      </c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3">
        <f>U70+U71+U72+U73</f>
        <v>4310.88</v>
      </c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3">
        <f>AZ70+AZ71+AZ72+AZ73</f>
        <v>52748.56999999999</v>
      </c>
      <c r="BA69" s="32"/>
      <c r="BB69" s="33">
        <f>BB70+BB71+BB72+BB73</f>
        <v>832.28</v>
      </c>
      <c r="BC69" s="33">
        <f>BC70+BC71+BC72+BC73</f>
        <v>59028</v>
      </c>
      <c r="BD69" s="32"/>
      <c r="BF69" s="20"/>
    </row>
    <row r="70" spans="1:58" ht="15.75" hidden="1">
      <c r="A70" s="3"/>
      <c r="B70" s="1" t="s">
        <v>11</v>
      </c>
      <c r="C70" s="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>
        <v>0</v>
      </c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>
        <v>0</v>
      </c>
      <c r="BA70" s="22"/>
      <c r="BB70" s="22">
        <v>0</v>
      </c>
      <c r="BC70" s="22">
        <f>AZ70</f>
        <v>0</v>
      </c>
      <c r="BD70" s="22"/>
      <c r="BF70" s="20"/>
    </row>
    <row r="71" spans="1:58" ht="15.75" hidden="1">
      <c r="A71" s="3"/>
      <c r="B71" s="1" t="s">
        <v>23</v>
      </c>
      <c r="C71" s="2">
        <v>2.32</v>
      </c>
      <c r="D71" s="22">
        <v>8.59</v>
      </c>
      <c r="E71" s="22">
        <v>17.1</v>
      </c>
      <c r="F71" s="22">
        <v>3.61</v>
      </c>
      <c r="G71" s="22">
        <v>0.92</v>
      </c>
      <c r="H71" s="22">
        <v>15.45</v>
      </c>
      <c r="I71" s="22">
        <v>7.21</v>
      </c>
      <c r="J71" s="22">
        <v>30.83</v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>
        <v>326.38</v>
      </c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>
        <v>3993.59</v>
      </c>
      <c r="BA71" s="22"/>
      <c r="BB71" s="22">
        <v>63.01</v>
      </c>
      <c r="BC71" s="22">
        <f>C71+D71+E71+F71+G71+H71+J71+U71+AZ71+BB71+I71</f>
        <v>4469.01</v>
      </c>
      <c r="BD71" s="22"/>
      <c r="BF71" s="20"/>
    </row>
    <row r="72" spans="1:58" ht="31.5" hidden="1">
      <c r="A72" s="3"/>
      <c r="B72" s="1" t="s">
        <v>31</v>
      </c>
      <c r="C72" s="2">
        <v>27.39</v>
      </c>
      <c r="D72" s="22">
        <v>101.3</v>
      </c>
      <c r="E72" s="22">
        <v>201.66</v>
      </c>
      <c r="F72" s="22">
        <v>42.53</v>
      </c>
      <c r="G72" s="22">
        <v>10.88</v>
      </c>
      <c r="H72" s="22">
        <v>182.19</v>
      </c>
      <c r="I72" s="22">
        <v>84.98</v>
      </c>
      <c r="J72" s="22">
        <v>363.56</v>
      </c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>
        <v>3848.88</v>
      </c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>
        <v>47095.53</v>
      </c>
      <c r="BA72" s="22"/>
      <c r="BB72" s="22">
        <v>743.09</v>
      </c>
      <c r="BC72" s="22">
        <f>C72+D72+E72+F72+G72+H72+I72+J72+U72+AZ72+BB72</f>
        <v>52701.99</v>
      </c>
      <c r="BD72" s="22"/>
      <c r="BF72" s="20"/>
    </row>
    <row r="73" spans="1:58" ht="20.25" customHeight="1" hidden="1">
      <c r="A73" s="3"/>
      <c r="B73" s="1" t="s">
        <v>21</v>
      </c>
      <c r="C73" s="2">
        <v>0.97</v>
      </c>
      <c r="D73" s="22">
        <v>3.57</v>
      </c>
      <c r="E73" s="22">
        <v>7.11</v>
      </c>
      <c r="F73" s="22">
        <v>1.5</v>
      </c>
      <c r="G73" s="22">
        <v>0.38</v>
      </c>
      <c r="H73" s="22">
        <v>6.42</v>
      </c>
      <c r="I73" s="22">
        <v>2.99</v>
      </c>
      <c r="J73" s="22">
        <v>12.81</v>
      </c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>
        <v>135.62</v>
      </c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>
        <v>1659.45</v>
      </c>
      <c r="BA73" s="22"/>
      <c r="BB73" s="22">
        <v>26.18</v>
      </c>
      <c r="BC73" s="22">
        <f>C73+D73+E73+F73+G73+H73+I73+J73+U73+AZ73+BB73</f>
        <v>1857.0000000000002</v>
      </c>
      <c r="BD73" s="22"/>
      <c r="BF73" s="20"/>
    </row>
    <row r="74" spans="1:58" ht="15.75" hidden="1">
      <c r="A74" s="3" t="s">
        <v>117</v>
      </c>
      <c r="B74" s="18" t="s">
        <v>30</v>
      </c>
      <c r="C74" s="13">
        <v>0.16</v>
      </c>
      <c r="D74" s="21">
        <v>0.6</v>
      </c>
      <c r="E74" s="21">
        <v>1.19</v>
      </c>
      <c r="F74" s="21">
        <v>0.25</v>
      </c>
      <c r="G74" s="21">
        <v>0.06</v>
      </c>
      <c r="H74" s="21">
        <v>1.08</v>
      </c>
      <c r="I74" s="21">
        <v>0.5</v>
      </c>
      <c r="J74" s="21">
        <v>2.15</v>
      </c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1">
        <v>22.71</v>
      </c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1">
        <v>277.92</v>
      </c>
      <c r="BA74" s="22"/>
      <c r="BB74" s="21">
        <v>4.39</v>
      </c>
      <c r="BC74" s="21">
        <f>C74+D74+E74+F74+G74+H74+I74+J74+U74+AZ74+BB74</f>
        <v>311.01</v>
      </c>
      <c r="BD74" s="22"/>
      <c r="BF74" s="20"/>
    </row>
    <row r="75" spans="1:58" ht="15.75" hidden="1">
      <c r="A75" s="3" t="s">
        <v>118</v>
      </c>
      <c r="B75" s="18" t="s">
        <v>24</v>
      </c>
      <c r="C75" s="13">
        <v>1.79</v>
      </c>
      <c r="D75" s="21">
        <v>6.61</v>
      </c>
      <c r="E75" s="21">
        <v>13.15</v>
      </c>
      <c r="F75" s="21">
        <v>2.77</v>
      </c>
      <c r="G75" s="21">
        <v>0.71</v>
      </c>
      <c r="H75" s="21">
        <v>11.88</v>
      </c>
      <c r="I75" s="21">
        <v>5.54</v>
      </c>
      <c r="J75" s="21">
        <v>23.71</v>
      </c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1">
        <v>251.01</v>
      </c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1">
        <v>3071.37</v>
      </c>
      <c r="BA75" s="22"/>
      <c r="BB75" s="21">
        <v>48.46</v>
      </c>
      <c r="BC75" s="21">
        <f>C75+D75+E75+F75+G75+H75+I75+J75+U75+AZ75+BB75</f>
        <v>3437</v>
      </c>
      <c r="BD75" s="22"/>
      <c r="BF75" s="20"/>
    </row>
    <row r="76" spans="1:58" ht="15.75" hidden="1">
      <c r="A76" s="3" t="s">
        <v>119</v>
      </c>
      <c r="B76" s="1" t="s">
        <v>25</v>
      </c>
      <c r="C76" s="13" t="e">
        <f>C57+C74+C75-C69</f>
        <v>#REF!</v>
      </c>
      <c r="D76" s="21" t="e">
        <f>D57+D74+D75-D69</f>
        <v>#REF!</v>
      </c>
      <c r="E76" s="21" t="e">
        <f>E57+E74+E75-E69</f>
        <v>#REF!</v>
      </c>
      <c r="F76" s="21" t="e">
        <f>F57+F68+F74+F75-F69</f>
        <v>#REF!</v>
      </c>
      <c r="G76" s="21" t="e">
        <f>G57+G68+G74+G75-G69</f>
        <v>#REF!</v>
      </c>
      <c r="H76" s="21" t="e">
        <f>H57+H68+H74+H75-H69</f>
        <v>#REF!</v>
      </c>
      <c r="I76" s="21" t="e">
        <f>I57+I68+I74+I75-I69</f>
        <v>#REF!</v>
      </c>
      <c r="J76" s="21" t="e">
        <f>J57+J68+J74+J75-J69</f>
        <v>#REF!</v>
      </c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1" t="e">
        <f>U57+U68+U74+U75-U69</f>
        <v>#REF!</v>
      </c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1" t="e">
        <f>AZ57+AZ68+AZ74+AZ75-AZ69</f>
        <v>#REF!</v>
      </c>
      <c r="BA76" s="22"/>
      <c r="BB76" s="21" t="e">
        <f>BB57+BB68+BB74+BB75-BB69</f>
        <v>#REF!</v>
      </c>
      <c r="BC76" s="21" t="e">
        <f>BC57+BC74+BC75-BC69</f>
        <v>#REF!</v>
      </c>
      <c r="BD76" s="22"/>
      <c r="BF76" s="20"/>
    </row>
    <row r="77" spans="1:58" ht="15.75" hidden="1">
      <c r="A77" s="3" t="s">
        <v>120</v>
      </c>
      <c r="B77" s="1" t="s">
        <v>29</v>
      </c>
      <c r="C77" s="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>
        <v>0</v>
      </c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>
        <v>0</v>
      </c>
      <c r="BA77" s="22"/>
      <c r="BB77" s="22">
        <v>0</v>
      </c>
      <c r="BC77" s="22">
        <v>0</v>
      </c>
      <c r="BD77" s="22"/>
      <c r="BF77" s="20"/>
    </row>
    <row r="78" spans="1:58" ht="15.75" hidden="1">
      <c r="A78" s="3" t="s">
        <v>121</v>
      </c>
      <c r="B78" s="1" t="s">
        <v>26</v>
      </c>
      <c r="C78" s="2">
        <v>8.7</v>
      </c>
      <c r="D78" s="22">
        <v>32.18</v>
      </c>
      <c r="E78" s="22">
        <v>64.06</v>
      </c>
      <c r="F78" s="22">
        <v>13.51</v>
      </c>
      <c r="G78" s="22">
        <v>3.46</v>
      </c>
      <c r="H78" s="22">
        <v>57.87</v>
      </c>
      <c r="I78" s="22">
        <v>26.99</v>
      </c>
      <c r="J78" s="22">
        <v>115.49</v>
      </c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>
        <v>1222.61</v>
      </c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6">
        <v>14948.08</v>
      </c>
      <c r="BA78" s="22"/>
      <c r="BB78" s="22">
        <v>236.05</v>
      </c>
      <c r="BC78" s="22">
        <f>C78+D78+E78+F78+G78+H78+I78+J78+U78+AZ78+BB78</f>
        <v>16729</v>
      </c>
      <c r="BD78" s="22"/>
      <c r="BF78" s="20"/>
    </row>
    <row r="79" spans="1:58" ht="15.75" hidden="1">
      <c r="A79" s="3" t="s">
        <v>122</v>
      </c>
      <c r="B79" s="1" t="s">
        <v>28</v>
      </c>
      <c r="C79" s="13" t="e">
        <f aca="true" t="shared" si="34" ref="C79:I79">C76+C78</f>
        <v>#REF!</v>
      </c>
      <c r="D79" s="21" t="e">
        <f t="shared" si="34"/>
        <v>#REF!</v>
      </c>
      <c r="E79" s="21" t="e">
        <f t="shared" si="34"/>
        <v>#REF!</v>
      </c>
      <c r="F79" s="21" t="e">
        <f t="shared" si="34"/>
        <v>#REF!</v>
      </c>
      <c r="G79" s="21" t="e">
        <f t="shared" si="34"/>
        <v>#REF!</v>
      </c>
      <c r="H79" s="21" t="e">
        <f t="shared" si="34"/>
        <v>#REF!</v>
      </c>
      <c r="I79" s="21" t="e">
        <f t="shared" si="34"/>
        <v>#REF!</v>
      </c>
      <c r="J79" s="21" t="e">
        <f>J76-J78</f>
        <v>#REF!</v>
      </c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1" t="e">
        <f>U76+U78</f>
        <v>#REF!</v>
      </c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1" t="e">
        <f>AZ76+AZ78</f>
        <v>#REF!</v>
      </c>
      <c r="BA79" s="22"/>
      <c r="BB79" s="21" t="e">
        <f>BB76+BB78</f>
        <v>#REF!</v>
      </c>
      <c r="BC79" s="23" t="e">
        <f>BC76+BC78</f>
        <v>#REF!</v>
      </c>
      <c r="BD79" s="22"/>
      <c r="BF79" s="20"/>
    </row>
    <row r="80" spans="1:58" ht="15.75" hidden="1">
      <c r="A80" s="1">
        <v>30</v>
      </c>
      <c r="B80" s="1" t="s">
        <v>18</v>
      </c>
      <c r="C80" s="13" t="e">
        <f>C56/#REF!</f>
        <v>#REF!</v>
      </c>
      <c r="D80" s="13" t="e">
        <f>D56/#REF!</f>
        <v>#REF!</v>
      </c>
      <c r="E80" s="13" t="e">
        <f>E56/#REF!</f>
        <v>#REF!</v>
      </c>
      <c r="F80" s="16" t="e">
        <f>F56/#REF!</f>
        <v>#REF!</v>
      </c>
      <c r="G80" s="13" t="e">
        <f>G56/#REF!</f>
        <v>#REF!</v>
      </c>
      <c r="H80" s="16" t="e">
        <f>H56/#REF!</f>
        <v>#REF!</v>
      </c>
      <c r="I80" s="13" t="e">
        <f>I56/#REF!</f>
        <v>#REF!</v>
      </c>
      <c r="J80" s="13" t="e">
        <f>J56/#REF!</f>
        <v>#REF!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16" t="e">
        <f>U56/#REF!</f>
        <v>#REF!</v>
      </c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13" t="e">
        <f>AZ56/#REF!</f>
        <v>#REF!</v>
      </c>
      <c r="BA80" s="2"/>
      <c r="BB80" s="13" t="e">
        <f>BB56/#REF!</f>
        <v>#REF!</v>
      </c>
      <c r="BC80" s="13" t="e">
        <f>BC56/#REF!</f>
        <v>#REF!</v>
      </c>
      <c r="BD80" s="2"/>
      <c r="BF80" s="20"/>
    </row>
    <row r="81" spans="1:58" ht="15.75" hidden="1">
      <c r="A81" s="1">
        <v>31</v>
      </c>
      <c r="B81" s="1" t="s">
        <v>19</v>
      </c>
      <c r="C81" s="2" t="e">
        <f>#REF!/#REF!</f>
        <v>#REF!</v>
      </c>
      <c r="D81" s="2" t="e">
        <f>#REF!/#REF!</f>
        <v>#REF!</v>
      </c>
      <c r="E81" s="2" t="s">
        <v>12</v>
      </c>
      <c r="F81" s="2" t="e">
        <f>#REF!/#REF!</f>
        <v>#REF!</v>
      </c>
      <c r="G81" s="2" t="e">
        <f>#REF!/#REF!</f>
        <v>#REF!</v>
      </c>
      <c r="H81" s="2" t="e">
        <f>#REF!/#REF!</f>
        <v>#REF!</v>
      </c>
      <c r="I81" s="2" t="e">
        <f>#REF!/#REF!</f>
        <v>#REF!</v>
      </c>
      <c r="J81" s="2" t="e">
        <f>#REF!/#REF!</f>
        <v>#REF!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 t="s">
        <v>12</v>
      </c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 t="e">
        <f>#REF!/#REF!</f>
        <v>#REF!</v>
      </c>
      <c r="BA81" s="2"/>
      <c r="BB81" s="2" t="e">
        <f>#REF!/#REF!</f>
        <v>#REF!</v>
      </c>
      <c r="BC81" s="13" t="e">
        <f>#REF!/#REF!</f>
        <v>#REF!</v>
      </c>
      <c r="BD81" s="2"/>
      <c r="BF81" s="20"/>
    </row>
    <row r="82" spans="2:56" ht="17.25" customHeight="1">
      <c r="B82" s="14"/>
      <c r="I82" s="54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9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9"/>
      <c r="BA82" s="15"/>
      <c r="BC82" s="9"/>
      <c r="BD82" s="15"/>
    </row>
    <row r="83" spans="2:56" ht="15.75">
      <c r="B83" s="17"/>
      <c r="K83" s="9"/>
      <c r="L83" s="9"/>
      <c r="M83" s="9"/>
      <c r="N83" s="9"/>
      <c r="O83" s="9"/>
      <c r="P83" s="9"/>
      <c r="Q83" s="9"/>
      <c r="R83" s="9"/>
      <c r="S83" s="9"/>
      <c r="T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BA83" s="9"/>
      <c r="BC83" s="15"/>
      <c r="BD83" s="9"/>
    </row>
    <row r="84" spans="2:21" ht="15.75">
      <c r="B84" s="8"/>
      <c r="U84" s="9"/>
    </row>
    <row r="85" ht="15.75">
      <c r="C85" s="9"/>
    </row>
  </sheetData>
  <mergeCells count="9">
    <mergeCell ref="K2:S2"/>
    <mergeCell ref="U2:V2"/>
    <mergeCell ref="W2:AY2"/>
    <mergeCell ref="AZ2:BA2"/>
    <mergeCell ref="A1:BC1"/>
    <mergeCell ref="BC2:BD2"/>
    <mergeCell ref="U3:V3"/>
    <mergeCell ref="AZ3:BA3"/>
    <mergeCell ref="BC3:B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efremova_ii</dc:creator>
  <cp:keywords/>
  <dc:description/>
  <cp:lastModifiedBy>Andy</cp:lastModifiedBy>
  <cp:lastPrinted>2013-07-29T06:55:51Z</cp:lastPrinted>
  <dcterms:created xsi:type="dcterms:W3CDTF">2011-01-25T13:44:08Z</dcterms:created>
  <dcterms:modified xsi:type="dcterms:W3CDTF">2013-09-05T12:05:08Z</dcterms:modified>
  <cp:category/>
  <cp:version/>
  <cp:contentType/>
  <cp:contentStatus/>
</cp:coreProperties>
</file>